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R:\HV09\C\DCAM\1. Division\Mitarbeiter\Haas\Projekte\FKG-Tool\Version_engl_2020\"/>
    </mc:Choice>
  </mc:AlternateContent>
  <bookViews>
    <workbookView xWindow="120" yWindow="90" windowWidth="25335" windowHeight="15870"/>
  </bookViews>
  <sheets>
    <sheet name="Introduction" sheetId="1" r:id="rId1"/>
    <sheet name="Disbursement &amp; interim interest" sheetId="2" r:id="rId2"/>
    <sheet name="Amortization plan &amp; interest" sheetId="4" r:id="rId3"/>
    <sheet name="Payment for uncovered claims" sheetId="7" r:id="rId4"/>
    <sheet name="Checklist of documents" sheetId="8" r:id="rId5"/>
    <sheet name="Hilfsblatt" sheetId="6" state="hidden" r:id="rId6"/>
  </sheets>
  <externalReferences>
    <externalReference r:id="rId7"/>
  </externalReferences>
  <definedNames>
    <definedName name="AK_Name">Introduction!$C$18</definedName>
    <definedName name="CIQWBGuid" hidden="1">"7373fb5b-ba6d-425f-b0fe-e2096cc5b382"</definedName>
    <definedName name="Country_AK_no">Introduction!$E$16</definedName>
    <definedName name="Date_from">Tabelle1[Date (from)]</definedName>
    <definedName name="Date_until">Tabelle1[Date (until)]</definedName>
    <definedName name="DN">[1]Einführung!$C$18</definedName>
    <definedName name="DN_Name">Introduction!$C$17</definedName>
    <definedName name="_xlnm.Print_Area" localSheetId="2">'Amortization plan &amp; interest'!$A$1:$P$71</definedName>
    <definedName name="_xlnm.Print_Area" localSheetId="4">'Checklist of documents'!$A$1:$G$58</definedName>
    <definedName name="_xlnm.Print_Area" localSheetId="1">'Disbursement &amp; interim interest'!$A$1:$K$59</definedName>
    <definedName name="_xlnm.Print_Area" localSheetId="0">Introduction!$A$1:$N$44</definedName>
    <definedName name="_xlnm.Print_Area" localSheetId="3">'Payment for uncovered claims'!$A$1:$M$54</definedName>
    <definedName name="FA">[1]Einführung!$E$18</definedName>
    <definedName name="Fälligkeit">Tabelle2[Due Date]</definedName>
    <definedName name="Haftung">Introduction!$C$19</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p_ausgez">'Amortization plan &amp; interest'!$D$26</definedName>
    <definedName name="Kap_ged">Introduction!$C$21</definedName>
    <definedName name="Kap_ges">Tabelle1[[#Totals],[Disbursement amount]]</definedName>
    <definedName name="Kapitalrate">'Amortization plan &amp; interest'!$F$25</definedName>
    <definedName name="Land_AK">[1]Einführung!$G$18</definedName>
    <definedName name="Land_AK_Nr">Introduction!$G$16</definedName>
    <definedName name="Marge">'Amortization plan &amp; interest'!$C$17</definedName>
    <definedName name="Method">'Disbursement &amp; interim interest'!$E$17</definedName>
    <definedName name="Rate_Nr">Tabelle2[Instalment No.]</definedName>
    <definedName name="Ratenart">'Amortization plan &amp; interest'!$C$21</definedName>
    <definedName name="Restkapital">Tabelle2[Remaining Capital]</definedName>
    <definedName name="Satz">Tabelle2[Euribor/ Libor]</definedName>
    <definedName name="SB">Introduction!$C$19</definedName>
    <definedName name="SB_Betrag">'Amortization plan &amp; interest'!$C$24</definedName>
    <definedName name="Tilgungsbeginn">Introduction!$C$23</definedName>
    <definedName name="VorgangsID">Introduction!$C$16</definedName>
    <definedName name="Vorlaufzinsen">Tabelle1[[#Totals],[interim interest]]</definedName>
    <definedName name="Währung">Introduction!$C$20</definedName>
    <definedName name="Zahl_Raten">'Amortization plan &amp; interest'!$C$22</definedName>
    <definedName name="Zerofloor">'Amortization plan &amp; interest'!$K$20</definedName>
    <definedName name="Zins_ged">Introduction!$C$22</definedName>
    <definedName name="Zinsmethode">'Amortization plan &amp; interest'!$K$18</definedName>
    <definedName name="Zinssatz">Tabelle2[[#Data],[#Totals],[interest rate]]</definedName>
  </definedNames>
  <calcPr calcId="162913"/>
</workbook>
</file>

<file path=xl/calcChain.xml><?xml version="1.0" encoding="utf-8"?>
<calcChain xmlns="http://schemas.openxmlformats.org/spreadsheetml/2006/main">
  <c r="E12" i="7" l="1"/>
  <c r="C12" i="7"/>
  <c r="K60" i="4"/>
  <c r="K61" i="4"/>
  <c r="U61" i="4"/>
  <c r="R61" i="4"/>
  <c r="S61" i="4"/>
  <c r="T61" i="4"/>
  <c r="V61" i="4"/>
  <c r="G61" i="4"/>
  <c r="E12" i="4"/>
  <c r="C12" i="4"/>
  <c r="E11" i="2"/>
  <c r="C11" i="2"/>
  <c r="H62" i="4" l="1"/>
  <c r="L62" i="4"/>
  <c r="E61" i="4"/>
  <c r="J61" i="4"/>
  <c r="N61" i="4"/>
  <c r="O61" i="4" s="1"/>
  <c r="P61" i="4" s="1"/>
  <c r="D37" i="4"/>
  <c r="D38" i="4"/>
  <c r="D39" i="4"/>
  <c r="D40" i="4"/>
  <c r="D41" i="4"/>
  <c r="D42" i="4"/>
  <c r="D43" i="4"/>
  <c r="D44" i="4"/>
  <c r="D45" i="4"/>
  <c r="D46" i="4"/>
  <c r="D47" i="4"/>
  <c r="D48" i="4"/>
  <c r="D49" i="4"/>
  <c r="D50" i="4"/>
  <c r="D51" i="4"/>
  <c r="D52" i="4"/>
  <c r="D53" i="4"/>
  <c r="D54" i="4"/>
  <c r="D55" i="4"/>
  <c r="D56" i="4"/>
  <c r="D57" i="4"/>
  <c r="D58" i="4"/>
  <c r="D59" i="4"/>
  <c r="D60" i="4"/>
  <c r="D61" i="4" s="1"/>
  <c r="B6" i="8"/>
  <c r="B5" i="8"/>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C31" i="4"/>
  <c r="S32" i="4" s="1"/>
  <c r="J25" i="2"/>
  <c r="J26" i="2"/>
  <c r="J27" i="2"/>
  <c r="J28" i="2"/>
  <c r="J29" i="2"/>
  <c r="J30" i="2"/>
  <c r="J31" i="2"/>
  <c r="J32" i="2"/>
  <c r="J33" i="2"/>
  <c r="J34" i="2"/>
  <c r="J35" i="2"/>
  <c r="J36" i="2"/>
  <c r="J37" i="2"/>
  <c r="J38" i="2"/>
  <c r="J39" i="2"/>
  <c r="J40" i="2"/>
  <c r="J41" i="2"/>
  <c r="J42" i="2"/>
  <c r="J43" i="2"/>
  <c r="Q25" i="2"/>
  <c r="Q26" i="2"/>
  <c r="Q27" i="2"/>
  <c r="Q28" i="2"/>
  <c r="Q29" i="2"/>
  <c r="Q30" i="2"/>
  <c r="Q31" i="2"/>
  <c r="Q32" i="2"/>
  <c r="Q33" i="2"/>
  <c r="Q34" i="2"/>
  <c r="Q35" i="2"/>
  <c r="Q36" i="2"/>
  <c r="Q37" i="2"/>
  <c r="Q38" i="2"/>
  <c r="Q39" i="2"/>
  <c r="Q40" i="2"/>
  <c r="Q41" i="2"/>
  <c r="Q42" i="2"/>
  <c r="Q43" i="2"/>
  <c r="P25" i="2"/>
  <c r="P26" i="2"/>
  <c r="P27" i="2"/>
  <c r="P28" i="2"/>
  <c r="P29" i="2"/>
  <c r="P30" i="2"/>
  <c r="P31" i="2"/>
  <c r="P32" i="2"/>
  <c r="P33" i="2"/>
  <c r="P34" i="2"/>
  <c r="P35" i="2"/>
  <c r="P36" i="2"/>
  <c r="P37" i="2"/>
  <c r="P38" i="2"/>
  <c r="P39" i="2"/>
  <c r="P40" i="2"/>
  <c r="P41" i="2"/>
  <c r="P42" i="2"/>
  <c r="P43" i="2"/>
  <c r="O25" i="2"/>
  <c r="O26" i="2"/>
  <c r="O27" i="2"/>
  <c r="O28" i="2"/>
  <c r="O29" i="2"/>
  <c r="O30" i="2"/>
  <c r="O31" i="2"/>
  <c r="O32" i="2"/>
  <c r="O33" i="2"/>
  <c r="O34" i="2"/>
  <c r="O35" i="2"/>
  <c r="O36" i="2"/>
  <c r="O37" i="2"/>
  <c r="O38" i="2"/>
  <c r="O39" i="2"/>
  <c r="O40" i="2"/>
  <c r="O41" i="2"/>
  <c r="O42" i="2"/>
  <c r="O43" i="2"/>
  <c r="N21" i="2"/>
  <c r="Q21" i="2" s="1"/>
  <c r="J21" i="2" s="1"/>
  <c r="N22" i="2"/>
  <c r="Q22" i="2" s="1"/>
  <c r="J22" i="2" s="1"/>
  <c r="N23" i="2"/>
  <c r="Q23" i="2" s="1"/>
  <c r="J23" i="2" s="1"/>
  <c r="N24" i="2"/>
  <c r="Q24" i="2" s="1"/>
  <c r="J24" i="2" s="1"/>
  <c r="N25" i="2"/>
  <c r="N26" i="2"/>
  <c r="N27" i="2"/>
  <c r="N28" i="2"/>
  <c r="N29" i="2"/>
  <c r="N30" i="2"/>
  <c r="N31" i="2"/>
  <c r="N32" i="2"/>
  <c r="N33" i="2"/>
  <c r="N34" i="2"/>
  <c r="N35" i="2"/>
  <c r="N36" i="2"/>
  <c r="N37" i="2"/>
  <c r="N38" i="2"/>
  <c r="N39" i="2"/>
  <c r="N40" i="2"/>
  <c r="N41" i="2"/>
  <c r="N42" i="2"/>
  <c r="N43" i="2"/>
  <c r="N20" i="2"/>
  <c r="Q20" i="2" s="1"/>
  <c r="J20" i="2" s="1"/>
  <c r="M21" i="2"/>
  <c r="P21" i="2" s="1"/>
  <c r="M22" i="2"/>
  <c r="P22" i="2" s="1"/>
  <c r="M23" i="2"/>
  <c r="P23" i="2" s="1"/>
  <c r="M24" i="2"/>
  <c r="P24" i="2" s="1"/>
  <c r="M25" i="2"/>
  <c r="M26" i="2"/>
  <c r="M27" i="2"/>
  <c r="M28" i="2"/>
  <c r="M29" i="2"/>
  <c r="M30" i="2"/>
  <c r="M31" i="2"/>
  <c r="M32" i="2"/>
  <c r="M33" i="2"/>
  <c r="M34" i="2"/>
  <c r="M35" i="2"/>
  <c r="M36" i="2"/>
  <c r="M37" i="2"/>
  <c r="M38" i="2"/>
  <c r="M39" i="2"/>
  <c r="M40" i="2"/>
  <c r="M41" i="2"/>
  <c r="M42" i="2"/>
  <c r="M43" i="2"/>
  <c r="M20" i="2"/>
  <c r="P20" i="2" s="1"/>
  <c r="L21" i="2"/>
  <c r="O21" i="2" s="1"/>
  <c r="L22" i="2"/>
  <c r="O22" i="2" s="1"/>
  <c r="L23" i="2"/>
  <c r="O23" i="2" s="1"/>
  <c r="L24" i="2"/>
  <c r="O24" i="2" s="1"/>
  <c r="L25" i="2"/>
  <c r="L26" i="2"/>
  <c r="L27" i="2"/>
  <c r="L28" i="2"/>
  <c r="L29" i="2"/>
  <c r="L30" i="2"/>
  <c r="L31" i="2"/>
  <c r="L32" i="2"/>
  <c r="L33" i="2"/>
  <c r="L34" i="2"/>
  <c r="L35" i="2"/>
  <c r="L36" i="2"/>
  <c r="L37" i="2"/>
  <c r="L38" i="2"/>
  <c r="L39" i="2"/>
  <c r="L40" i="2"/>
  <c r="L41" i="2"/>
  <c r="L42" i="2"/>
  <c r="L43" i="2"/>
  <c r="L20" i="2"/>
  <c r="O20" i="2" s="1"/>
  <c r="D31" i="4" l="1"/>
  <c r="T32" i="4"/>
  <c r="R32" i="4"/>
  <c r="D33" i="4"/>
  <c r="D34" i="4" l="1"/>
  <c r="D35" i="4" s="1"/>
  <c r="D36" i="4" s="1"/>
  <c r="E23" i="4"/>
  <c r="E22" i="4"/>
  <c r="G50" i="2"/>
  <c r="G51" i="2"/>
  <c r="G45" i="7"/>
  <c r="G44" i="7"/>
  <c r="B4" i="8"/>
  <c r="B3" i="8"/>
  <c r="F45" i="7"/>
  <c r="F44" i="7"/>
  <c r="C24" i="4"/>
  <c r="C26" i="4"/>
  <c r="C27" i="4"/>
  <c r="C25" i="4"/>
  <c r="F48" i="2"/>
  <c r="F49" i="2"/>
  <c r="F50" i="2"/>
  <c r="F51" i="2"/>
  <c r="F47" i="2"/>
  <c r="F21" i="7"/>
  <c r="F22" i="7"/>
  <c r="F23" i="7"/>
  <c r="F24" i="7"/>
  <c r="F25" i="7"/>
  <c r="F26" i="7"/>
  <c r="F27" i="7"/>
  <c r="F28" i="7"/>
  <c r="F29" i="7"/>
  <c r="F30" i="7"/>
  <c r="F31" i="7"/>
  <c r="F32" i="7"/>
  <c r="F33" i="7"/>
  <c r="F34" i="7"/>
  <c r="F35" i="7"/>
  <c r="F36" i="7"/>
  <c r="F37" i="7"/>
  <c r="F38" i="7"/>
  <c r="F39" i="7"/>
  <c r="F40" i="7"/>
  <c r="F41" i="7"/>
  <c r="F42" i="7"/>
  <c r="F43" i="7"/>
  <c r="G49" i="2"/>
  <c r="G48" i="2"/>
  <c r="G47" i="2"/>
  <c r="J57" i="4"/>
  <c r="N57" i="4"/>
  <c r="J58" i="4"/>
  <c r="N58" i="4"/>
  <c r="J59" i="4"/>
  <c r="N59" i="4"/>
  <c r="J54" i="4"/>
  <c r="N54" i="4"/>
  <c r="F21" i="2"/>
  <c r="F22" i="2"/>
  <c r="F23" i="2"/>
  <c r="F24" i="2"/>
  <c r="F25" i="2"/>
  <c r="F26" i="2"/>
  <c r="F27" i="2"/>
  <c r="F28" i="2"/>
  <c r="F29" i="2"/>
  <c r="F30" i="2"/>
  <c r="F31" i="2"/>
  <c r="F32" i="2"/>
  <c r="F33" i="2"/>
  <c r="F34" i="2"/>
  <c r="F35" i="2"/>
  <c r="F36" i="2"/>
  <c r="F37" i="2"/>
  <c r="F38" i="2"/>
  <c r="F39" i="2"/>
  <c r="F40" i="2"/>
  <c r="F41" i="2"/>
  <c r="F42" i="2"/>
  <c r="F43" i="2"/>
  <c r="G45" i="2"/>
  <c r="D25" i="4"/>
  <c r="J32" i="4"/>
  <c r="J33" i="4"/>
  <c r="J34" i="4"/>
  <c r="J35" i="4"/>
  <c r="J36" i="4"/>
  <c r="J37" i="4"/>
  <c r="J38" i="4"/>
  <c r="J39" i="4"/>
  <c r="J40" i="4"/>
  <c r="J41" i="4"/>
  <c r="J42" i="4"/>
  <c r="J43" i="4"/>
  <c r="J44" i="4"/>
  <c r="J45" i="4"/>
  <c r="J46" i="4"/>
  <c r="J47" i="4"/>
  <c r="J48" i="4"/>
  <c r="J49" i="4"/>
  <c r="J50" i="4"/>
  <c r="J51" i="4"/>
  <c r="J52" i="4"/>
  <c r="J53" i="4"/>
  <c r="J55" i="4"/>
  <c r="J56" i="4"/>
  <c r="J60" i="4"/>
  <c r="J31" i="4"/>
  <c r="N60" i="4"/>
  <c r="N38" i="4"/>
  <c r="O38" i="4" s="1"/>
  <c r="N39" i="4"/>
  <c r="N40" i="4"/>
  <c r="O40" i="4" s="1"/>
  <c r="P40" i="4" s="1"/>
  <c r="N41" i="4"/>
  <c r="N44" i="4"/>
  <c r="O44" i="4" s="1"/>
  <c r="N45" i="4"/>
  <c r="N47" i="4"/>
  <c r="O47" i="4" s="1"/>
  <c r="P47" i="4" s="1"/>
  <c r="N48" i="4"/>
  <c r="N49" i="4"/>
  <c r="O49" i="4" s="1"/>
  <c r="N50" i="4"/>
  <c r="N51" i="4"/>
  <c r="O51" i="4" s="1"/>
  <c r="P51" i="4" s="1"/>
  <c r="N52" i="4"/>
  <c r="N53" i="4"/>
  <c r="O53" i="4" s="1"/>
  <c r="P53" i="4" s="1"/>
  <c r="N55" i="4"/>
  <c r="N56" i="4"/>
  <c r="O56" i="4" s="1"/>
  <c r="D27" i="4"/>
  <c r="H26" i="2"/>
  <c r="H27" i="2"/>
  <c r="H28" i="2"/>
  <c r="H29" i="2"/>
  <c r="H30" i="2"/>
  <c r="H31" i="2"/>
  <c r="H32" i="2"/>
  <c r="H33" i="2"/>
  <c r="H34" i="2"/>
  <c r="H35" i="2"/>
  <c r="H36" i="2"/>
  <c r="H37" i="2"/>
  <c r="H38" i="2"/>
  <c r="H39" i="2"/>
  <c r="H40" i="2"/>
  <c r="H41" i="2"/>
  <c r="H42" i="2"/>
  <c r="H43" i="2"/>
  <c r="H11" i="2"/>
  <c r="H20" i="2"/>
  <c r="H21" i="2"/>
  <c r="F20" i="2"/>
  <c r="H22" i="2"/>
  <c r="H23" i="2"/>
  <c r="H24" i="2"/>
  <c r="H25" i="2"/>
  <c r="N32" i="4"/>
  <c r="O32" i="4" s="1"/>
  <c r="P32" i="4" s="1"/>
  <c r="N31" i="4"/>
  <c r="N33" i="4"/>
  <c r="O33" i="4" s="1"/>
  <c r="N34" i="4"/>
  <c r="N35" i="4"/>
  <c r="O35" i="4" s="1"/>
  <c r="P35" i="4" s="1"/>
  <c r="N36" i="4"/>
  <c r="N37" i="4"/>
  <c r="O37" i="4" s="1"/>
  <c r="P37" i="4" s="1"/>
  <c r="N42" i="4"/>
  <c r="N43" i="4"/>
  <c r="O43" i="4" s="1"/>
  <c r="P43" i="4" s="1"/>
  <c r="N46" i="4"/>
  <c r="N62" i="4" l="1"/>
  <c r="O46" i="4"/>
  <c r="P46" i="4" s="1"/>
  <c r="O42" i="4"/>
  <c r="P42" i="4" s="1"/>
  <c r="O36" i="4"/>
  <c r="P36" i="4" s="1"/>
  <c r="O34" i="4"/>
  <c r="P34" i="4" s="1"/>
  <c r="O31" i="4"/>
  <c r="P31" i="4" s="1"/>
  <c r="O55" i="4"/>
  <c r="P55" i="4" s="1"/>
  <c r="O52" i="4"/>
  <c r="P52" i="4" s="1"/>
  <c r="O50" i="4"/>
  <c r="P50" i="4" s="1"/>
  <c r="O48" i="4"/>
  <c r="P48" i="4" s="1"/>
  <c r="O45" i="4"/>
  <c r="P45" i="4" s="1"/>
  <c r="O41" i="4"/>
  <c r="P41" i="4" s="1"/>
  <c r="O39" i="4"/>
  <c r="P39" i="4" s="1"/>
  <c r="O60" i="4"/>
  <c r="P60" i="4" s="1"/>
  <c r="O54" i="4"/>
  <c r="P54" i="4" s="1"/>
  <c r="O59" i="4"/>
  <c r="P59" i="4" s="1"/>
  <c r="O58" i="4"/>
  <c r="P58" i="4" s="1"/>
  <c r="O57" i="4"/>
  <c r="P57" i="4" s="1"/>
  <c r="G44" i="2"/>
  <c r="H45" i="2" s="1"/>
  <c r="J44" i="2"/>
  <c r="E60" i="4"/>
  <c r="E58" i="4"/>
  <c r="E56" i="4"/>
  <c r="E54" i="4"/>
  <c r="E52" i="4"/>
  <c r="E50" i="4"/>
  <c r="E48" i="4"/>
  <c r="E46" i="4"/>
  <c r="E44" i="4"/>
  <c r="E42" i="4"/>
  <c r="E40" i="4"/>
  <c r="E38" i="4"/>
  <c r="E36" i="4"/>
  <c r="E34" i="4"/>
  <c r="E32" i="4"/>
  <c r="E59" i="4"/>
  <c r="E57" i="4"/>
  <c r="E55" i="4"/>
  <c r="E53" i="4"/>
  <c r="E51" i="4"/>
  <c r="E49" i="4"/>
  <c r="E47" i="4"/>
  <c r="E45" i="4"/>
  <c r="E43" i="4"/>
  <c r="E41" i="4"/>
  <c r="E39" i="4"/>
  <c r="E37" i="4"/>
  <c r="E35" i="4"/>
  <c r="E33" i="4"/>
  <c r="E31" i="4"/>
  <c r="P33" i="4"/>
  <c r="P38" i="4"/>
  <c r="P44" i="4"/>
  <c r="P56" i="4"/>
  <c r="P49" i="4"/>
  <c r="W31" i="4" l="1"/>
  <c r="U31" i="4"/>
  <c r="V31" i="4"/>
  <c r="K31" i="4" s="1"/>
  <c r="D26" i="4"/>
  <c r="F31" i="4" s="1"/>
  <c r="F25" i="4"/>
  <c r="P62" i="4"/>
  <c r="G31" i="4" l="1"/>
  <c r="F32" i="4" s="1"/>
  <c r="V32" i="4" l="1"/>
  <c r="U32" i="4"/>
  <c r="W32" i="4"/>
  <c r="K32" i="4" s="1"/>
  <c r="G32" i="4"/>
  <c r="F33" i="4" s="1"/>
  <c r="W33" i="4" l="1"/>
  <c r="K33" i="4" s="1"/>
  <c r="V33" i="4"/>
  <c r="U33" i="4"/>
  <c r="G33" i="4"/>
  <c r="F34" i="4" s="1"/>
  <c r="G34" i="4" l="1"/>
  <c r="F35" i="4" s="1"/>
  <c r="U34" i="4"/>
  <c r="W34" i="4"/>
  <c r="K34" i="4" s="1"/>
  <c r="V34" i="4"/>
  <c r="G35" i="4" l="1"/>
  <c r="F36" i="4" s="1"/>
  <c r="W35" i="4"/>
  <c r="K35" i="4" s="1"/>
  <c r="V35" i="4"/>
  <c r="U35" i="4"/>
  <c r="G36" i="4" l="1"/>
  <c r="F37" i="4" s="1"/>
  <c r="U36" i="4"/>
  <c r="W36" i="4"/>
  <c r="K36" i="4" s="1"/>
  <c r="V36" i="4"/>
  <c r="W37" i="4" l="1"/>
  <c r="K37" i="4" s="1"/>
  <c r="V37" i="4"/>
  <c r="U37" i="4"/>
  <c r="G37" i="4"/>
  <c r="F38" i="4" s="1"/>
  <c r="U38" i="4" l="1"/>
  <c r="W38" i="4"/>
  <c r="K38" i="4" s="1"/>
  <c r="V38" i="4"/>
  <c r="G38" i="4"/>
  <c r="F39" i="4" s="1"/>
  <c r="W39" i="4" l="1"/>
  <c r="K39" i="4" s="1"/>
  <c r="V39" i="4"/>
  <c r="U39" i="4"/>
  <c r="G39" i="4"/>
  <c r="F40" i="4" s="1"/>
  <c r="U40" i="4" l="1"/>
  <c r="W40" i="4"/>
  <c r="K40" i="4" s="1"/>
  <c r="V40" i="4"/>
  <c r="G40" i="4"/>
  <c r="F41" i="4" s="1"/>
  <c r="W41" i="4" l="1"/>
  <c r="K41" i="4" s="1"/>
  <c r="V41" i="4"/>
  <c r="U41" i="4"/>
  <c r="G41" i="4"/>
  <c r="F42" i="4" s="1"/>
  <c r="U42" i="4" l="1"/>
  <c r="W42" i="4"/>
  <c r="K42" i="4" s="1"/>
  <c r="V42" i="4"/>
  <c r="G42" i="4"/>
  <c r="F43" i="4" s="1"/>
  <c r="W43" i="4" l="1"/>
  <c r="K43" i="4" s="1"/>
  <c r="V43" i="4"/>
  <c r="U43" i="4"/>
  <c r="G43" i="4"/>
  <c r="F44" i="4" s="1"/>
  <c r="U44" i="4" l="1"/>
  <c r="W44" i="4"/>
  <c r="K44" i="4" s="1"/>
  <c r="V44" i="4"/>
  <c r="G44" i="4"/>
  <c r="F45" i="4" s="1"/>
  <c r="W45" i="4" l="1"/>
  <c r="K45" i="4" s="1"/>
  <c r="V45" i="4"/>
  <c r="U45" i="4"/>
  <c r="G45" i="4"/>
  <c r="F46" i="4" s="1"/>
  <c r="U46" i="4" l="1"/>
  <c r="W46" i="4"/>
  <c r="K46" i="4" s="1"/>
  <c r="V46" i="4"/>
  <c r="G46" i="4"/>
  <c r="F47" i="4" s="1"/>
  <c r="W47" i="4" l="1"/>
  <c r="K47" i="4" s="1"/>
  <c r="V47" i="4"/>
  <c r="U47" i="4"/>
  <c r="G47" i="4"/>
  <c r="F48" i="4" s="1"/>
  <c r="U48" i="4" l="1"/>
  <c r="W48" i="4"/>
  <c r="K48" i="4" s="1"/>
  <c r="V48" i="4"/>
  <c r="G48" i="4"/>
  <c r="F49" i="4" s="1"/>
  <c r="W49" i="4" l="1"/>
  <c r="K49" i="4" s="1"/>
  <c r="V49" i="4"/>
  <c r="U49" i="4"/>
  <c r="G49" i="4"/>
  <c r="F50" i="4" s="1"/>
  <c r="U50" i="4" l="1"/>
  <c r="W50" i="4"/>
  <c r="K50" i="4" s="1"/>
  <c r="V50" i="4"/>
  <c r="G50" i="4"/>
  <c r="F51" i="4" s="1"/>
  <c r="W51" i="4" l="1"/>
  <c r="K51" i="4" s="1"/>
  <c r="V51" i="4"/>
  <c r="U51" i="4"/>
  <c r="G51" i="4"/>
  <c r="F52" i="4" s="1"/>
  <c r="U52" i="4" l="1"/>
  <c r="W52" i="4"/>
  <c r="K52" i="4" s="1"/>
  <c r="V52" i="4"/>
  <c r="G52" i="4"/>
  <c r="F53" i="4" s="1"/>
  <c r="W53" i="4" l="1"/>
  <c r="K53" i="4" s="1"/>
  <c r="V53" i="4"/>
  <c r="U53" i="4"/>
  <c r="G53" i="4"/>
  <c r="F54" i="4" l="1"/>
  <c r="F55" i="4"/>
  <c r="G55" i="4" l="1"/>
  <c r="F56" i="4" s="1"/>
  <c r="W55" i="4"/>
  <c r="K55" i="4" s="1"/>
  <c r="V55" i="4"/>
  <c r="U55" i="4"/>
  <c r="G54" i="4"/>
  <c r="U54" i="4"/>
  <c r="W54" i="4"/>
  <c r="K54" i="4" s="1"/>
  <c r="V54" i="4"/>
  <c r="U56" i="4" l="1"/>
  <c r="W56" i="4"/>
  <c r="K56" i="4" s="1"/>
  <c r="V56" i="4"/>
  <c r="G56" i="4"/>
  <c r="F60" i="4" s="1"/>
  <c r="F57" i="4" l="1"/>
  <c r="W57" i="4" s="1"/>
  <c r="K57" i="4" s="1"/>
  <c r="G60" i="4"/>
  <c r="U60" i="4"/>
  <c r="V60" i="4"/>
  <c r="G57" i="4"/>
  <c r="V57" i="4" l="1"/>
  <c r="U57" i="4"/>
  <c r="F58" i="4"/>
  <c r="U58" i="4" l="1"/>
  <c r="W58" i="4"/>
  <c r="K58" i="4" s="1"/>
  <c r="V58" i="4"/>
  <c r="G58" i="4"/>
  <c r="F59" i="4" l="1"/>
  <c r="G59" i="4" l="1"/>
  <c r="G62" i="4" s="1"/>
  <c r="G63" i="4" s="1"/>
  <c r="W59" i="4"/>
  <c r="V59" i="4"/>
  <c r="U59" i="4"/>
  <c r="K62" i="4" l="1"/>
  <c r="K63" i="4" s="1"/>
  <c r="K59" i="4"/>
</calcChain>
</file>

<file path=xl/sharedStrings.xml><?xml version="1.0" encoding="utf-8"?>
<sst xmlns="http://schemas.openxmlformats.org/spreadsheetml/2006/main" count="222" uniqueCount="186">
  <si>
    <t>Hinweis:</t>
  </si>
  <si>
    <t>Währung</t>
  </si>
  <si>
    <t>DN Name</t>
  </si>
  <si>
    <t>AK Name</t>
  </si>
  <si>
    <t>Lieferung/Leistung</t>
  </si>
  <si>
    <t>Blatt: Einführung</t>
  </si>
  <si>
    <t>Haftung des Bundes</t>
  </si>
  <si>
    <t>EUR</t>
  </si>
  <si>
    <t>USD</t>
  </si>
  <si>
    <t>GBP</t>
  </si>
  <si>
    <t>JPY</t>
  </si>
  <si>
    <t>RUB</t>
  </si>
  <si>
    <t>ZAR</t>
  </si>
  <si>
    <t>SEK</t>
  </si>
  <si>
    <t>Blatt: Auszahlungen und Vorlaufzinsen</t>
  </si>
  <si>
    <t>Basiszinssatz</t>
  </si>
  <si>
    <t>Euribor</t>
  </si>
  <si>
    <t>Libor</t>
  </si>
  <si>
    <t>Zinsmethode</t>
  </si>
  <si>
    <t>Zinsfixierung</t>
  </si>
  <si>
    <t>Zero floor vereinbart</t>
  </si>
  <si>
    <t>ja</t>
  </si>
  <si>
    <t>Ratenart:</t>
  </si>
  <si>
    <t>Status</t>
  </si>
  <si>
    <t>SB-Betrag</t>
  </si>
  <si>
    <t>Status:</t>
  </si>
  <si>
    <t>Zelle F23:</t>
  </si>
  <si>
    <t>Berechnet Ratenhöhe.</t>
  </si>
  <si>
    <t>Euribor/ Libor</t>
  </si>
  <si>
    <t>Max.</t>
  </si>
  <si>
    <t>act/360</t>
  </si>
  <si>
    <t>act/365</t>
  </si>
  <si>
    <t>Zero-floor:</t>
  </si>
  <si>
    <t>In der ersten Zeile übernimmt er die Vorlaufzinsen aus dem Blatt "Auszahlungen und Vorlaufzinsen".</t>
  </si>
  <si>
    <t>Auszahlungsvariante</t>
  </si>
  <si>
    <t>Blatt: Zahlungen für ungedeckte Ford.</t>
  </si>
  <si>
    <t>1.</t>
  </si>
  <si>
    <t>2.</t>
  </si>
  <si>
    <t>3.</t>
  </si>
  <si>
    <t>4.</t>
  </si>
  <si>
    <t>5.</t>
  </si>
  <si>
    <t>6.</t>
  </si>
  <si>
    <t xml:space="preserve"> </t>
  </si>
  <si>
    <t>7.</t>
  </si>
  <si>
    <t>8.</t>
  </si>
  <si>
    <t>9.</t>
  </si>
  <si>
    <t>10.</t>
  </si>
  <si>
    <t>-----&gt;</t>
  </si>
  <si>
    <t>Blatt: Zahlungsplan und Zinsen</t>
  </si>
  <si>
    <t>Finanzierungskosten werden in den Spalten Q und R für die beiden Zinsmethoden (act/360 und act/365) hilfsweise berechnet und je nach Angabe oben im Formular in die Tabelle einbezogen</t>
  </si>
  <si>
    <t>Currency</t>
  </si>
  <si>
    <t>Capital amount covered (100%)*)</t>
  </si>
  <si>
    <t>Interest amount covered (100%)*)</t>
  </si>
  <si>
    <t>The covered amounts of capital and interest can be found in the latest version of your guarantee certificate.</t>
  </si>
  <si>
    <t>Country-/AK No.</t>
  </si>
  <si>
    <t>Cover (%)</t>
  </si>
  <si>
    <t>*) According to your guarantee certificate</t>
  </si>
  <si>
    <t>Basic data:</t>
  </si>
  <si>
    <t>Dear client,</t>
  </si>
  <si>
    <t>Notice:</t>
  </si>
  <si>
    <t>Key</t>
  </si>
  <si>
    <t>Please enter data</t>
  </si>
  <si>
    <t>calculated automatically</t>
  </si>
  <si>
    <t>URS@exportkreditgarantien.de</t>
  </si>
  <si>
    <t>Country/AK-No.</t>
  </si>
  <si>
    <t>Calculated automatically</t>
  </si>
  <si>
    <t>Key:</t>
  </si>
  <si>
    <t>Disbursements</t>
  </si>
  <si>
    <t>Delivery/Service</t>
  </si>
  <si>
    <t>Way of disbursement</t>
  </si>
  <si>
    <t>Disbursement amount</t>
  </si>
  <si>
    <t>Sum of Disbursements</t>
  </si>
  <si>
    <t>Interest rate</t>
  </si>
  <si>
    <t>Sum</t>
  </si>
  <si>
    <t>Sum of</t>
  </si>
  <si>
    <t>Deliveries</t>
  </si>
  <si>
    <t>Services</t>
  </si>
  <si>
    <t>Comments /explanations:</t>
  </si>
  <si>
    <t>Hermes fee</t>
  </si>
  <si>
    <t>direct disbursement</t>
  </si>
  <si>
    <t>refund procedure</t>
  </si>
  <si>
    <t>Direct disbursement</t>
  </si>
  <si>
    <t>Refund procedure</t>
  </si>
  <si>
    <t>Base rate:</t>
  </si>
  <si>
    <t>Margin:</t>
  </si>
  <si>
    <t>Interest calculation method</t>
  </si>
  <si>
    <t>Interest fixing day:</t>
  </si>
  <si>
    <t>Payment frequency:</t>
  </si>
  <si>
    <t>half-yearly</t>
  </si>
  <si>
    <t>quarterly</t>
  </si>
  <si>
    <t>monthly</t>
  </si>
  <si>
    <t>yes</t>
  </si>
  <si>
    <t>no</t>
  </si>
  <si>
    <t>paid</t>
  </si>
  <si>
    <t>indemnification recquired</t>
  </si>
  <si>
    <t>indemnified</t>
  </si>
  <si>
    <t>1 day before due date</t>
  </si>
  <si>
    <t>on due date</t>
  </si>
  <si>
    <t>2 days before due date</t>
  </si>
  <si>
    <t>Number of instalments:</t>
  </si>
  <si>
    <t>Retention:</t>
  </si>
  <si>
    <t>Capital amount covered:</t>
  </si>
  <si>
    <t>Disbursed capital amount:</t>
  </si>
  <si>
    <t>Interest amount covered:</t>
  </si>
  <si>
    <t>Please enter the margin according to the facility agreement.</t>
  </si>
  <si>
    <t>Overview of the instalments and amounts to be indemnified.</t>
  </si>
  <si>
    <t>Due Date</t>
  </si>
  <si>
    <t>Instalment No.</t>
  </si>
  <si>
    <t>Remaining Capital</t>
  </si>
  <si>
    <t>Instalment</t>
  </si>
  <si>
    <t>(partially) paid amount</t>
  </si>
  <si>
    <t>interest rate</t>
  </si>
  <si>
    <t>interest amount</t>
  </si>
  <si>
    <t>(partially) paid interst amount</t>
  </si>
  <si>
    <t>Date of payment</t>
  </si>
  <si>
    <t>Residue after deduction</t>
  </si>
  <si>
    <t>Retention amount</t>
  </si>
  <si>
    <t>Indemnification amount</t>
  </si>
  <si>
    <t>Due date</t>
  </si>
  <si>
    <t>Paid? (yes/no)</t>
  </si>
  <si>
    <t>Type of payment</t>
  </si>
  <si>
    <t>Amount</t>
  </si>
  <si>
    <t>Total of uncovered claims:</t>
  </si>
  <si>
    <t>Loan documentation</t>
  </si>
  <si>
    <t>Country/AK No.</t>
  </si>
  <si>
    <t>Repayment schedule</t>
  </si>
  <si>
    <t>First Maturity</t>
  </si>
  <si>
    <t>Conditions precedent for disbursement</t>
  </si>
  <si>
    <t>Example:</t>
  </si>
  <si>
    <t>Payments eligible for allocation</t>
  </si>
  <si>
    <t>Duty to prevent or mitigate losses</t>
  </si>
  <si>
    <t>Plausibility check</t>
  </si>
  <si>
    <t>other</t>
  </si>
  <si>
    <t>Note: Only the collateral documented in the buyer credit cover policy is relevant.</t>
  </si>
  <si>
    <t xml:space="preserve">Checklist of documentation recquired for indemnification of buyer credit covered by EH: </t>
  </si>
  <si>
    <t>by using this Excel-Tool as a complement to your application for indemnification you can easily transmit us all the information concerning disbursement and amortization of your buyer credit due for indemnification. This Excel-File consists of four sheets that need to be filled out: 1. Introduction, 2. Disbursement and preliminary interest, 3. Amortization plan and interest, 4. Payment for uncovered claims. We kindly ask you to fill out this table with as much detail as possible. In the last sheet of this table you will find a checklist with all the necessary documentation we need beside this Excel-tool and your application for indemnification. In the case of any questions please do not hesitate to contact us. Thank you very much for your support.</t>
  </si>
  <si>
    <t>Please send the completed tool as well as all relevant documents as per checklist to our e-mail-address:</t>
  </si>
  <si>
    <t>First maturity</t>
  </si>
  <si>
    <t>Amendments to the facility agreement</t>
  </si>
  <si>
    <t>Overview of amounts received which refer to uncovered claims (see § 7 (1) / AB (FKG)):</t>
  </si>
  <si>
    <t>This document is a translation which was made for the reader’s convenience only.</t>
  </si>
  <si>
    <t>Only the German text is legally effective.</t>
  </si>
  <si>
    <t>interim interest</t>
  </si>
  <si>
    <t>Please enter all disbursements as well as all interest rates used for calculation of the interim interest.</t>
  </si>
  <si>
    <t>Facility/Loan agreement including annexes/schedules</t>
  </si>
  <si>
    <t xml:space="preserve">If applicable: Framework/Master Agreement </t>
  </si>
  <si>
    <t>Repayment schedule comprising disbursements, principal, interest and respecitve maturities</t>
  </si>
  <si>
    <t>Interest amounts between first disbursement and first maturity (so called "interim interest") as well as interest rates (for each drawdown)</t>
  </si>
  <si>
    <t>Down payment</t>
  </si>
  <si>
    <t>Confirmation that no payments from the Borrower for uncovered claims have been received which could be subject to (re)allocation pursuant to Article 7 of the General Terms and Conditions for Buyer Credit Guarantees. In case of receipt of any such payments, pls. specify date, amount and nature of payment in the sheet "Payment for uncovered claims".</t>
  </si>
  <si>
    <t>Documentation of measures undertaken to recover debt, e.g. payment reminders/dunning letters, meeting notes, telephone protocols, involvement of an attorney or collection agency, other debt collection activities etc.</t>
  </si>
  <si>
    <t xml:space="preserve">If applicable: Proof of filing the claim in an insolvency procedure </t>
  </si>
  <si>
    <t>Execution of collateral (proof of drawing of guarantee/ surety, if applicable)</t>
  </si>
  <si>
    <t>All collateral documentation listed in the cover policy has to be submitted, e.g. payment guarantees, pledges, letters of credit and the corresponding legal opinions.</t>
  </si>
  <si>
    <t>Collateral documentation (if any)</t>
  </si>
  <si>
    <t>In order to facilitate examination and speed up the review, please provide a list of the relevant collateral documentation in the pattern specified in the table on the right:</t>
  </si>
  <si>
    <t>If applicable: Name of respective file on data carrier / name of attachment</t>
  </si>
  <si>
    <t xml:space="preserve">Where to find respective collateral in loan documentation (facility agreement, basic agreement, amendments, §, No., Page) </t>
  </si>
  <si>
    <t>Has the Zero-floor been agreed upon before an increase of risk?</t>
  </si>
  <si>
    <t>Total of received, uncovered payments:</t>
  </si>
  <si>
    <r>
      <rPr>
        <b/>
        <u/>
        <sz val="11"/>
        <color theme="3" tint="0.39997558519241921"/>
        <rFont val="Arial"/>
        <family val="2"/>
      </rPr>
      <t xml:space="preserve">Attention: </t>
    </r>
    <r>
      <rPr>
        <b/>
        <sz val="11"/>
        <color theme="3" tint="0.39997558519241921"/>
        <rFont val="Arial"/>
        <family val="2"/>
      </rPr>
      <t>Please enter any additional amounts received exceeding the scheduled payments of principal and interest (as specified in our Guarantee Declaration).</t>
    </r>
  </si>
  <si>
    <t>Zero-Floor must be expressly stipulated within the loan agreement before an increase of risk in order to be applicable.</t>
  </si>
  <si>
    <t>Collateral listed in the cover policy.</t>
  </si>
  <si>
    <t>Disclaimer: This English version is for your convenience. Only the German version prevails.</t>
  </si>
  <si>
    <t>No new disbursement</t>
  </si>
  <si>
    <t>Further interest on stated amounts</t>
  </si>
  <si>
    <t>Date (from)</t>
  </si>
  <si>
    <t>Date (until)</t>
  </si>
  <si>
    <t>Written confirmation by the bank that all conditions precedent for (each) disbursement as agreed upon in the buyer credit guarantee and the Facility/Loan documentation have been met. This confirmation should also contain a declaration as to which documentation has been presented to the bank.</t>
  </si>
  <si>
    <t>The above confirmation shall specify the specific documents which have been checked as a condition precedent to each disbursement and should also contain an overview of all disbursements.</t>
  </si>
  <si>
    <t>Statement of the date(s) of delivery of the merchandise / or date of provision of service.</t>
  </si>
  <si>
    <t>Bank receipt of exporter's Bank or other evidence from the exporter that the down payment has been performed . This also applies in case of the Reimbursement Procedure (i.e. in case of a payment already effected by the buyer to the exporter is financed by the bank thereafter)</t>
  </si>
  <si>
    <t xml:space="preserve">For Securitisation Guarantees: Confirmation from the beneficiary of the securitisation guarantee that he has indefeasibly waived its rights and privileges thereunder regarding the amounts claimed für indemnification.  </t>
  </si>
  <si>
    <r>
      <t>If a Reimbursement Procedure (i.e. in case of a payment already effected by the buyer to the exporter is financed by the bank thereafter) is being applied: Receipt of these payments by the exporter must be checked on the basis of documentary proof</t>
    </r>
    <r>
      <rPr>
        <sz val="11"/>
        <rFont val="Verdana"/>
        <family val="2"/>
      </rPr>
      <t xml:space="preserve"> either from its bank (e.g. by statements of account, credit notes etc.) or from the exporter himself.</t>
    </r>
  </si>
  <si>
    <t>https://www.agaportal.de/_Resources/Persistent/bede6da1ad0754949b6db18d28a6503e297571bf/e_pi_finanzkreditdeckung_auszahlungsvoraussetzung.pdf</t>
  </si>
  <si>
    <t>For more information double-click on icon:</t>
  </si>
  <si>
    <t>Days act/365</t>
  </si>
  <si>
    <t>Days act/360</t>
  </si>
  <si>
    <t>30/360</t>
  </si>
  <si>
    <t>Days 30/360</t>
  </si>
  <si>
    <t>Interest act/360</t>
  </si>
  <si>
    <t>Interest act/365</t>
  </si>
  <si>
    <t>Interest 30/360</t>
  </si>
  <si>
    <t>Interest calculation method:</t>
  </si>
  <si>
    <t>VorgangsID</t>
  </si>
  <si>
    <t>Vorgangs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</si>
</sst>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 _€_-;\-* #,##0\ _€_-;_-* &quot;-&quot;??\ _€_-;_-@_-"/>
    <numFmt numFmtId="166" formatCode="0.0000%"/>
    <numFmt numFmtId="167" formatCode="0_ ;\-0\ "/>
    <numFmt numFmtId="168" formatCode="_-* #,##0.000\ _€_-;\-* #,##0.000\ _€_-;_-* &quot;-&quot;??\ _€_-;_-@_-"/>
    <numFmt numFmtId="169" formatCode="dd/mm/yyyy;@"/>
    <numFmt numFmtId="170" formatCode="#,##0_ ;\-#,##0\ "/>
  </numFmts>
  <fonts count="39">
    <font>
      <sz val="11"/>
      <color theme="1"/>
      <name val="Verdana"/>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color theme="1"/>
      <name val="Arial"/>
      <family val="2"/>
    </font>
    <font>
      <sz val="11"/>
      <color theme="1"/>
      <name val="Verdana"/>
      <family val="2"/>
    </font>
    <font>
      <b/>
      <sz val="11"/>
      <color theme="0"/>
      <name val="Verdana"/>
      <family val="2"/>
    </font>
    <font>
      <b/>
      <sz val="11"/>
      <color theme="1"/>
      <name val="Verdana"/>
      <family val="2"/>
    </font>
    <font>
      <sz val="11"/>
      <color theme="0"/>
      <name val="Verdana"/>
      <family val="2"/>
    </font>
    <font>
      <b/>
      <sz val="10"/>
      <name val="Arial"/>
      <family val="2"/>
    </font>
    <font>
      <sz val="10"/>
      <name val="Arial"/>
      <family val="2"/>
    </font>
    <font>
      <b/>
      <sz val="11"/>
      <color theme="4" tint="-0.249977111117893"/>
      <name val="Arial"/>
      <family val="2"/>
    </font>
    <font>
      <sz val="11"/>
      <color rgb="FFFF0000"/>
      <name val="Verdana"/>
      <family val="2"/>
    </font>
    <font>
      <sz val="10"/>
      <color theme="1"/>
      <name val="Verdana"/>
      <family val="2"/>
    </font>
    <font>
      <sz val="11"/>
      <color theme="8" tint="-0.249977111117893"/>
      <name val="Verdana"/>
      <family val="2"/>
    </font>
    <font>
      <b/>
      <u/>
      <sz val="11"/>
      <color theme="1"/>
      <name val="Verdana"/>
      <family val="2"/>
    </font>
    <font>
      <b/>
      <sz val="12"/>
      <color theme="1"/>
      <name val="Allianz Neo Light"/>
      <family val="2"/>
    </font>
    <font>
      <b/>
      <u/>
      <sz val="12"/>
      <color theme="1"/>
      <name val="Arial"/>
      <family val="2"/>
    </font>
    <font>
      <sz val="9"/>
      <color theme="1"/>
      <name val="Verdana"/>
      <family val="2"/>
    </font>
    <font>
      <sz val="9"/>
      <color theme="0" tint="-0.34998626667073579"/>
      <name val="Verdana"/>
      <family val="2"/>
    </font>
    <font>
      <b/>
      <sz val="10"/>
      <color theme="0"/>
      <name val="Verdana"/>
      <family val="2"/>
    </font>
    <font>
      <b/>
      <sz val="11"/>
      <color theme="3" tint="0.39997558519241921"/>
      <name val="Arial"/>
      <family val="2"/>
    </font>
    <font>
      <b/>
      <u/>
      <sz val="11"/>
      <color theme="3" tint="0.39997558519241921"/>
      <name val="Arial"/>
      <family val="2"/>
    </font>
    <font>
      <b/>
      <sz val="11"/>
      <color theme="1"/>
      <name val="Arial"/>
      <family val="2"/>
    </font>
    <font>
      <sz val="11"/>
      <color theme="1"/>
      <name val="Arial"/>
      <family val="2"/>
    </font>
    <font>
      <b/>
      <sz val="12"/>
      <color rgb="FFFF0000"/>
      <name val="Allianz Neo Light"/>
      <family val="2"/>
    </font>
    <font>
      <u/>
      <sz val="11"/>
      <color theme="1"/>
      <name val="Verdana"/>
      <family val="2"/>
    </font>
    <font>
      <u/>
      <sz val="11"/>
      <color theme="10"/>
      <name val="Verdana"/>
      <family val="2"/>
    </font>
    <font>
      <b/>
      <sz val="11"/>
      <color theme="10"/>
      <name val="Verdana"/>
      <family val="2"/>
    </font>
    <font>
      <b/>
      <sz val="10"/>
      <color rgb="FFFF0000"/>
      <name val="Arial"/>
      <family val="2"/>
    </font>
    <font>
      <b/>
      <sz val="11"/>
      <name val="Arial"/>
      <family val="2"/>
    </font>
    <font>
      <b/>
      <sz val="12"/>
      <name val="Allianz Neo Light"/>
      <family val="2"/>
    </font>
    <font>
      <b/>
      <sz val="11"/>
      <name val="Verdana"/>
      <family val="2"/>
    </font>
    <font>
      <sz val="11"/>
      <color theme="1"/>
      <name val="Verdana"/>
    </font>
    <font>
      <sz val="11"/>
      <name val="Verdana"/>
    </font>
    <font>
      <sz val="10"/>
      <color theme="0"/>
      <name val="Arial"/>
      <family val="2"/>
    </font>
    <font>
      <sz val="11"/>
      <name val="Verdana"/>
      <family val="2"/>
    </font>
    <font>
      <b/>
      <sz val="12"/>
      <color theme="0"/>
      <name val="Allianz Neo Light"/>
      <family val="2"/>
    </font>
  </fonts>
  <fills count="12">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5"/>
      </patternFill>
    </fill>
    <fill>
      <patternFill patternType="solid">
        <fgColor theme="4"/>
        <bgColor theme="4"/>
      </patternFill>
    </fill>
    <fill>
      <patternFill patternType="solid">
        <fgColor theme="4" tint="0.79998168889431442"/>
        <bgColor indexed="64"/>
      </patternFill>
    </fill>
    <fill>
      <patternFill patternType="solid">
        <fgColor rgb="FF92D050"/>
        <bgColor indexed="64"/>
      </patternFill>
    </fill>
    <fill>
      <patternFill patternType="solid">
        <fgColor theme="4"/>
      </patternFill>
    </fill>
  </fills>
  <borders count="11">
    <border>
      <left/>
      <right/>
      <top/>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bottom style="medium">
        <color theme="0"/>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style="medium">
        <color indexed="64"/>
      </left>
      <right style="medium">
        <color indexed="64"/>
      </right>
      <top style="medium">
        <color indexed="64"/>
      </top>
      <bottom style="medium">
        <color indexed="64"/>
      </bottom>
      <diagonal/>
    </border>
    <border>
      <left style="thin">
        <color theme="4"/>
      </left>
      <right/>
      <top/>
      <bottom/>
      <diagonal/>
    </border>
  </borders>
  <cellStyleXfs count="8">
    <xf numFmtId="0" fontId="0" fillId="0" borderId="0"/>
    <xf numFmtId="0" fontId="4" fillId="0" borderId="0"/>
    <xf numFmtId="9" fontId="4" fillId="0" borderId="0" applyFont="0" applyFill="0" applyBorder="0" applyAlignment="0" applyProtection="0"/>
    <xf numFmtId="0" fontId="6" fillId="3" borderId="0" applyNumberFormat="0" applyBorder="0" applyAlignment="0" applyProtection="0"/>
    <xf numFmtId="164" fontId="6" fillId="0" borderId="0" applyFont="0" applyFill="0" applyBorder="0" applyAlignment="0" applyProtection="0"/>
    <xf numFmtId="0" fontId="6" fillId="7" borderId="0" applyNumberFormat="0" applyBorder="0" applyAlignment="0" applyProtection="0"/>
    <xf numFmtId="0" fontId="28" fillId="0" borderId="0" applyNumberFormat="0" applyFill="0" applyBorder="0" applyAlignment="0" applyProtection="0"/>
    <xf numFmtId="0" fontId="36" fillId="11" borderId="0" applyNumberFormat="0" applyBorder="0" applyAlignment="0" applyProtection="0"/>
  </cellStyleXfs>
  <cellXfs count="176">
    <xf numFmtId="0" fontId="0" fillId="0" borderId="0" xfId="0"/>
    <xf numFmtId="0" fontId="5" fillId="2" borderId="0" xfId="1" applyFont="1" applyFill="1" applyBorder="1" applyProtection="1"/>
    <xf numFmtId="0" fontId="0" fillId="0" borderId="0" xfId="0" applyBorder="1"/>
    <xf numFmtId="0" fontId="5" fillId="2" borderId="0" xfId="0" applyFont="1" applyFill="1"/>
    <xf numFmtId="0" fontId="5" fillId="0" borderId="0" xfId="0" applyFont="1" applyFill="1"/>
    <xf numFmtId="0" fontId="5" fillId="0" borderId="0" xfId="0" applyFont="1"/>
    <xf numFmtId="0" fontId="5" fillId="2" borderId="0" xfId="0" applyFont="1" applyFill="1" applyBorder="1"/>
    <xf numFmtId="0" fontId="10" fillId="2" borderId="0" xfId="0" applyFont="1" applyFill="1" applyBorder="1" applyAlignment="1">
      <alignment horizontal="left" indent="13"/>
    </xf>
    <xf numFmtId="0" fontId="8" fillId="0" borderId="0" xfId="0" applyFont="1" applyBorder="1"/>
    <xf numFmtId="0" fontId="5" fillId="2" borderId="0" xfId="0" applyFont="1" applyFill="1" applyProtection="1"/>
    <xf numFmtId="0" fontId="5" fillId="0" borderId="0" xfId="0" applyFont="1" applyFill="1" applyProtection="1"/>
    <xf numFmtId="0" fontId="5" fillId="0" borderId="0" xfId="0" applyFont="1" applyProtection="1"/>
    <xf numFmtId="0" fontId="5" fillId="2" borderId="0" xfId="0" applyFont="1" applyFill="1" applyBorder="1" applyProtection="1"/>
    <xf numFmtId="0" fontId="10" fillId="2" borderId="0" xfId="0" applyFont="1" applyFill="1" applyBorder="1" applyAlignment="1" applyProtection="1">
      <alignment horizontal="left" indent="13"/>
    </xf>
    <xf numFmtId="0" fontId="11" fillId="2" borderId="0" xfId="0" applyFont="1" applyFill="1" applyProtection="1"/>
    <xf numFmtId="0" fontId="12" fillId="2" borderId="0" xfId="0" applyFont="1" applyFill="1" applyProtection="1"/>
    <xf numFmtId="0" fontId="0" fillId="0" borderId="0" xfId="0" applyAlignment="1">
      <alignment horizontal="right"/>
    </xf>
    <xf numFmtId="0" fontId="14" fillId="0" borderId="0" xfId="0" applyFont="1" applyAlignment="1">
      <alignment horizontal="right"/>
    </xf>
    <xf numFmtId="0" fontId="8" fillId="0" borderId="0" xfId="0" applyFont="1"/>
    <xf numFmtId="0" fontId="9" fillId="0" borderId="0" xfId="0" applyFont="1"/>
    <xf numFmtId="0" fontId="15" fillId="0" borderId="0" xfId="0" applyFont="1" applyFill="1"/>
    <xf numFmtId="0" fontId="0" fillId="5" borderId="0" xfId="0" applyFill="1"/>
    <xf numFmtId="0" fontId="14" fillId="0" borderId="0" xfId="0" applyFont="1" applyFill="1" applyBorder="1" applyAlignment="1">
      <alignment horizontal="right"/>
    </xf>
    <xf numFmtId="9" fontId="0" fillId="0" borderId="0" xfId="0" applyNumberFormat="1"/>
    <xf numFmtId="0" fontId="16" fillId="0" borderId="0" xfId="0" applyFont="1"/>
    <xf numFmtId="14" fontId="0" fillId="0" borderId="0" xfId="0" applyNumberFormat="1"/>
    <xf numFmtId="0" fontId="9" fillId="0" borderId="0" xfId="0" applyFont="1" applyFill="1"/>
    <xf numFmtId="0" fontId="13" fillId="0" borderId="0" xfId="0" quotePrefix="1" applyFont="1" applyFill="1"/>
    <xf numFmtId="0" fontId="13" fillId="0" borderId="0" xfId="0" applyFont="1" applyFill="1"/>
    <xf numFmtId="0" fontId="0" fillId="0" borderId="0" xfId="0" applyAlignment="1">
      <alignment wrapText="1"/>
    </xf>
    <xf numFmtId="0" fontId="17" fillId="5" borderId="0" xfId="0" applyFont="1" applyFill="1"/>
    <xf numFmtId="0" fontId="18" fillId="2" borderId="0" xfId="1" applyFont="1" applyFill="1" applyProtection="1"/>
    <xf numFmtId="0" fontId="0" fillId="0" borderId="0" xfId="0" applyBorder="1" applyAlignment="1">
      <alignment vertical="center"/>
    </xf>
    <xf numFmtId="0" fontId="0" fillId="0" borderId="0" xfId="0" applyFill="1"/>
    <xf numFmtId="0" fontId="0" fillId="0" borderId="0" xfId="0" quotePrefix="1" applyFill="1"/>
    <xf numFmtId="164" fontId="6" fillId="3" borderId="0" xfId="3" applyNumberFormat="1"/>
    <xf numFmtId="164" fontId="6" fillId="3" borderId="0" xfId="3" applyNumberFormat="1" applyBorder="1"/>
    <xf numFmtId="164" fontId="0" fillId="3" borderId="1" xfId="3" applyNumberFormat="1" applyFont="1" applyFill="1" applyBorder="1" applyAlignment="1">
      <alignment horizontal="center"/>
    </xf>
    <xf numFmtId="0" fontId="0" fillId="3" borderId="1" xfId="3" applyFont="1" applyFill="1" applyBorder="1" applyAlignment="1">
      <alignment horizontal="center"/>
    </xf>
    <xf numFmtId="0" fontId="6" fillId="7" borderId="0" xfId="5"/>
    <xf numFmtId="0" fontId="19" fillId="0" borderId="0" xfId="0" applyFont="1"/>
    <xf numFmtId="165" fontId="6" fillId="3" borderId="2" xfId="3" applyNumberFormat="1" applyBorder="1" applyAlignment="1">
      <alignment horizontal="right"/>
    </xf>
    <xf numFmtId="164" fontId="6" fillId="3" borderId="3" xfId="3" applyNumberFormat="1" applyBorder="1"/>
    <xf numFmtId="164" fontId="6" fillId="3" borderId="4" xfId="3" applyNumberFormat="1" applyBorder="1"/>
    <xf numFmtId="164" fontId="6" fillId="3" borderId="5" xfId="3" applyNumberFormat="1" applyBorder="1"/>
    <xf numFmtId="9" fontId="6" fillId="3" borderId="1" xfId="3" applyNumberFormat="1" applyBorder="1"/>
    <xf numFmtId="14" fontId="20" fillId="0" borderId="0" xfId="5" applyNumberFormat="1" applyFont="1" applyFill="1" applyBorder="1"/>
    <xf numFmtId="0" fontId="20" fillId="0" borderId="0" xfId="0" applyFont="1"/>
    <xf numFmtId="0" fontId="6" fillId="3" borderId="0" xfId="3" applyBorder="1" applyAlignment="1">
      <alignment horizontal="center"/>
    </xf>
    <xf numFmtId="164" fontId="6" fillId="3" borderId="0" xfId="3" applyNumberFormat="1" applyBorder="1" applyAlignment="1">
      <alignment horizontal="center"/>
    </xf>
    <xf numFmtId="0" fontId="0" fillId="0" borderId="0" xfId="0" applyAlignment="1">
      <alignment vertical="top" wrapText="1"/>
    </xf>
    <xf numFmtId="167" fontId="7" fillId="4" borderId="0" xfId="4" applyNumberFormat="1" applyFont="1" applyFill="1" applyBorder="1"/>
    <xf numFmtId="0" fontId="17" fillId="0" borderId="0" xfId="0" applyFont="1" applyFill="1"/>
    <xf numFmtId="164" fontId="8" fillId="3" borderId="0" xfId="3" applyNumberFormat="1" applyFont="1" applyBorder="1" applyAlignment="1">
      <alignment horizontal="center"/>
    </xf>
    <xf numFmtId="165" fontId="6" fillId="3" borderId="7" xfId="3" applyNumberFormat="1" applyBorder="1" applyAlignment="1" applyProtection="1">
      <alignment horizontal="center"/>
    </xf>
    <xf numFmtId="164" fontId="6" fillId="3" borderId="7" xfId="3" applyNumberFormat="1" applyBorder="1" applyAlignment="1" applyProtection="1">
      <alignment horizontal="center"/>
    </xf>
    <xf numFmtId="164" fontId="6" fillId="3" borderId="7" xfId="3" applyNumberFormat="1" applyBorder="1" applyProtection="1"/>
    <xf numFmtId="10" fontId="6" fillId="3" borderId="7" xfId="3" applyNumberFormat="1" applyBorder="1"/>
    <xf numFmtId="164" fontId="6" fillId="3" borderId="7" xfId="3" applyNumberFormat="1" applyBorder="1"/>
    <xf numFmtId="166" fontId="6" fillId="3" borderId="7" xfId="3" applyNumberFormat="1" applyBorder="1"/>
    <xf numFmtId="0" fontId="6" fillId="3" borderId="1" xfId="3" applyBorder="1" applyAlignment="1" applyProtection="1">
      <alignment horizontal="right" vertical="center"/>
      <protection locked="0"/>
    </xf>
    <xf numFmtId="9" fontId="6" fillId="3" borderId="1" xfId="3" applyNumberFormat="1" applyBorder="1" applyAlignment="1" applyProtection="1">
      <alignment horizontal="right" vertical="center"/>
      <protection locked="0"/>
    </xf>
    <xf numFmtId="164" fontId="6" fillId="3" borderId="1" xfId="3" applyNumberFormat="1" applyBorder="1" applyAlignment="1" applyProtection="1">
      <alignment horizontal="right" vertical="center"/>
      <protection locked="0"/>
    </xf>
    <xf numFmtId="0" fontId="6" fillId="3" borderId="1" xfId="3" applyBorder="1" applyAlignment="1" applyProtection="1">
      <alignment vertical="center"/>
      <protection locked="0"/>
    </xf>
    <xf numFmtId="0" fontId="0" fillId="3" borderId="1" xfId="3" applyFont="1" applyBorder="1" applyAlignment="1" applyProtection="1">
      <alignment horizontal="right" vertical="center"/>
      <protection locked="0"/>
    </xf>
    <xf numFmtId="14" fontId="6" fillId="7" borderId="0" xfId="5" applyNumberFormat="1" applyBorder="1" applyProtection="1">
      <protection locked="0"/>
    </xf>
    <xf numFmtId="0" fontId="6" fillId="7" borderId="0" xfId="5" applyBorder="1" applyProtection="1">
      <protection locked="0"/>
    </xf>
    <xf numFmtId="164" fontId="6" fillId="7" borderId="0" xfId="5" applyNumberFormat="1" applyBorder="1" applyAlignment="1" applyProtection="1">
      <alignment horizontal="center"/>
      <protection locked="0"/>
    </xf>
    <xf numFmtId="166" fontId="6" fillId="7" borderId="0" xfId="5" applyNumberFormat="1" applyBorder="1" applyProtection="1">
      <protection locked="0"/>
    </xf>
    <xf numFmtId="0" fontId="6" fillId="7" borderId="6" xfId="5" applyBorder="1" applyProtection="1">
      <protection locked="0"/>
    </xf>
    <xf numFmtId="10" fontId="6" fillId="7" borderId="1" xfId="5" applyNumberFormat="1" applyBorder="1" applyProtection="1">
      <protection locked="0"/>
    </xf>
    <xf numFmtId="0" fontId="6" fillId="7" borderId="1" xfId="5" applyBorder="1" applyProtection="1">
      <protection locked="0"/>
    </xf>
    <xf numFmtId="14" fontId="6" fillId="7" borderId="7" xfId="5" applyNumberFormat="1" applyBorder="1" applyProtection="1">
      <protection locked="0"/>
    </xf>
    <xf numFmtId="4" fontId="6" fillId="7" borderId="7" xfId="5" applyNumberFormat="1" applyBorder="1" applyProtection="1">
      <protection locked="0"/>
    </xf>
    <xf numFmtId="166" fontId="6" fillId="7" borderId="7" xfId="5" applyNumberFormat="1" applyBorder="1" applyProtection="1">
      <protection locked="0"/>
    </xf>
    <xf numFmtId="0" fontId="16" fillId="10" borderId="0" xfId="0" applyFont="1" applyFill="1"/>
    <xf numFmtId="0" fontId="0" fillId="10" borderId="0" xfId="0" applyFill="1"/>
    <xf numFmtId="0" fontId="0" fillId="3" borderId="1" xfId="3" applyFont="1" applyFill="1" applyBorder="1" applyAlignment="1">
      <alignment horizontal="right"/>
    </xf>
    <xf numFmtId="0" fontId="0" fillId="3" borderId="1" xfId="3" applyFont="1" applyFill="1" applyBorder="1" applyAlignment="1">
      <alignment horizontal="left"/>
    </xf>
    <xf numFmtId="0" fontId="0" fillId="0" borderId="0" xfId="0" applyAlignment="1">
      <alignment horizontal="left" vertical="top" wrapText="1"/>
    </xf>
    <xf numFmtId="0" fontId="0" fillId="0" borderId="0" xfId="0" applyAlignment="1">
      <alignment horizontal="center" vertical="top" wrapText="1"/>
    </xf>
    <xf numFmtId="0" fontId="14" fillId="0" borderId="0" xfId="0" applyFont="1" applyFill="1" applyBorder="1" applyAlignment="1">
      <alignment horizontal="center" vertical="top" wrapText="1"/>
    </xf>
    <xf numFmtId="0" fontId="21" fillId="8" borderId="8" xfId="0" applyFont="1" applyFill="1" applyBorder="1" applyAlignment="1">
      <alignment horizontal="center" vertical="top" wrapText="1"/>
    </xf>
    <xf numFmtId="0" fontId="6" fillId="7" borderId="0" xfId="5" applyFont="1"/>
    <xf numFmtId="14" fontId="0" fillId="7" borderId="7" xfId="5" applyNumberFormat="1" applyFont="1" applyFill="1" applyBorder="1" applyProtection="1">
      <protection locked="0"/>
    </xf>
    <xf numFmtId="164" fontId="0" fillId="7" borderId="7" xfId="4" applyNumberFormat="1" applyFont="1" applyFill="1" applyBorder="1" applyProtection="1">
      <protection locked="0"/>
    </xf>
    <xf numFmtId="168" fontId="0" fillId="7" borderId="7" xfId="4" applyNumberFormat="1" applyFont="1" applyFill="1" applyBorder="1" applyProtection="1">
      <protection locked="0"/>
    </xf>
    <xf numFmtId="4" fontId="6" fillId="3" borderId="7" xfId="3" applyNumberFormat="1" applyBorder="1"/>
    <xf numFmtId="0" fontId="0" fillId="3" borderId="1" xfId="3" applyFont="1" applyBorder="1" applyAlignment="1">
      <alignment horizontal="left"/>
    </xf>
    <xf numFmtId="14" fontId="0" fillId="3" borderId="7" xfId="3" applyNumberFormat="1" applyFont="1" applyBorder="1"/>
    <xf numFmtId="0" fontId="12" fillId="2" borderId="0" xfId="0" applyFont="1" applyFill="1" applyAlignment="1" applyProtection="1">
      <alignment vertical="top"/>
    </xf>
    <xf numFmtId="0" fontId="0" fillId="0" borderId="0" xfId="0" applyAlignment="1">
      <alignment vertical="top"/>
    </xf>
    <xf numFmtId="14" fontId="8" fillId="3" borderId="7" xfId="3" applyNumberFormat="1" applyFont="1" applyBorder="1"/>
    <xf numFmtId="2" fontId="6" fillId="3" borderId="7" xfId="3" applyNumberFormat="1" applyBorder="1" applyAlignment="1">
      <alignment horizontal="center"/>
    </xf>
    <xf numFmtId="0" fontId="24" fillId="0" borderId="0" xfId="0" applyFont="1" applyAlignment="1">
      <alignment horizontal="justify" vertical="center"/>
    </xf>
    <xf numFmtId="0" fontId="25" fillId="0" borderId="0" xfId="0" applyFont="1" applyAlignment="1">
      <alignment horizontal="justify" vertical="center"/>
    </xf>
    <xf numFmtId="0" fontId="8" fillId="0" borderId="0" xfId="0" applyFont="1" applyAlignment="1">
      <alignment horizontal="center" vertical="top"/>
    </xf>
    <xf numFmtId="0" fontId="16" fillId="5" borderId="0" xfId="0" applyFont="1" applyFill="1"/>
    <xf numFmtId="0" fontId="8" fillId="5" borderId="0" xfId="0" applyFont="1" applyFill="1" applyAlignment="1">
      <alignment horizontal="center" vertical="top"/>
    </xf>
    <xf numFmtId="0" fontId="24" fillId="5" borderId="0" xfId="0" applyFont="1" applyFill="1" applyAlignment="1">
      <alignment horizontal="justify" vertical="center"/>
    </xf>
    <xf numFmtId="0" fontId="5" fillId="2" borderId="0" xfId="1" applyFont="1" applyFill="1" applyBorder="1" applyAlignment="1" applyProtection="1">
      <alignment vertical="center" wrapText="1"/>
    </xf>
    <xf numFmtId="0" fontId="26" fillId="5" borderId="0" xfId="0" applyFont="1" applyFill="1"/>
    <xf numFmtId="0" fontId="0" fillId="5" borderId="0" xfId="0" applyFill="1" applyBorder="1"/>
    <xf numFmtId="0" fontId="8" fillId="0" borderId="0" xfId="0" quotePrefix="1" applyFont="1" applyAlignment="1">
      <alignment horizontal="center" vertical="center"/>
    </xf>
    <xf numFmtId="0" fontId="0" fillId="0" borderId="9" xfId="0" applyBorder="1" applyProtection="1">
      <protection locked="0"/>
    </xf>
    <xf numFmtId="0" fontId="27" fillId="0" borderId="0" xfId="0" applyFont="1"/>
    <xf numFmtId="0" fontId="25" fillId="5" borderId="9" xfId="0" applyFont="1" applyFill="1" applyBorder="1" applyAlignment="1" applyProtection="1">
      <alignment horizontal="justify" vertical="center" wrapText="1"/>
      <protection locked="0"/>
    </xf>
    <xf numFmtId="0" fontId="25" fillId="5" borderId="9" xfId="0" applyFont="1" applyFill="1" applyBorder="1" applyAlignment="1" applyProtection="1">
      <alignment vertical="center" wrapText="1"/>
      <protection locked="0"/>
    </xf>
    <xf numFmtId="164" fontId="6" fillId="0" borderId="0" xfId="3" applyNumberFormat="1" applyFill="1"/>
    <xf numFmtId="0" fontId="6" fillId="0" borderId="0" xfId="5" applyFill="1" applyAlignment="1" applyProtection="1">
      <alignment vertical="top"/>
      <protection locked="0"/>
    </xf>
    <xf numFmtId="0" fontId="0" fillId="0" borderId="0" xfId="0" applyFill="1" applyBorder="1"/>
    <xf numFmtId="14" fontId="6" fillId="3" borderId="1" xfId="3" applyNumberFormat="1" applyBorder="1" applyProtection="1"/>
    <xf numFmtId="14" fontId="0" fillId="7" borderId="7" xfId="5" applyNumberFormat="1" applyFont="1" applyFill="1" applyBorder="1" applyAlignment="1" applyProtection="1">
      <alignment horizontal="center" vertical="center"/>
      <protection locked="0"/>
    </xf>
    <xf numFmtId="0" fontId="3" fillId="2" borderId="0" xfId="1" applyFont="1" applyFill="1" applyBorder="1" applyAlignment="1" applyProtection="1">
      <alignment vertical="center" wrapText="1"/>
    </xf>
    <xf numFmtId="0" fontId="0" fillId="7" borderId="1" xfId="5" applyFont="1" applyBorder="1"/>
    <xf numFmtId="0" fontId="3" fillId="2" borderId="0" xfId="0" applyFont="1" applyFill="1" applyAlignment="1" applyProtection="1">
      <alignment horizontal="right"/>
    </xf>
    <xf numFmtId="0" fontId="0" fillId="7" borderId="0" xfId="5" applyFont="1"/>
    <xf numFmtId="0" fontId="6" fillId="0" borderId="0" xfId="5" applyFill="1"/>
    <xf numFmtId="0" fontId="6" fillId="0" borderId="0" xfId="3" applyFill="1"/>
    <xf numFmtId="0" fontId="2" fillId="2" borderId="0" xfId="0" applyFont="1" applyFill="1" applyAlignment="1" applyProtection="1">
      <alignment horizontal="right"/>
    </xf>
    <xf numFmtId="0" fontId="0" fillId="0" borderId="0" xfId="0" applyBorder="1" applyProtection="1">
      <protection locked="0"/>
    </xf>
    <xf numFmtId="0" fontId="25" fillId="0" borderId="0" xfId="0" applyFont="1" applyFill="1" applyBorder="1" applyAlignment="1">
      <alignment horizontal="justify" vertical="center"/>
    </xf>
    <xf numFmtId="0" fontId="29" fillId="5" borderId="0" xfId="6" applyFont="1" applyFill="1" applyAlignment="1"/>
    <xf numFmtId="0" fontId="30" fillId="2" borderId="0" xfId="0" applyFont="1" applyFill="1"/>
    <xf numFmtId="0" fontId="0" fillId="0" borderId="0" xfId="0" applyFill="1" applyAlignment="1">
      <alignment vertical="top"/>
    </xf>
    <xf numFmtId="0" fontId="32" fillId="5" borderId="0" xfId="0" applyFont="1" applyFill="1"/>
    <xf numFmtId="0" fontId="31" fillId="5" borderId="0" xfId="0" applyFont="1" applyFill="1" applyAlignment="1">
      <alignment horizontal="justify" vertical="center"/>
    </xf>
    <xf numFmtId="14" fontId="33" fillId="3" borderId="7" xfId="3" applyNumberFormat="1" applyFont="1" applyBorder="1"/>
    <xf numFmtId="0" fontId="21" fillId="0" borderId="10" xfId="0" applyFont="1" applyFill="1" applyBorder="1" applyAlignment="1">
      <alignment horizontal="center" vertical="top" wrapText="1"/>
    </xf>
    <xf numFmtId="0" fontId="34" fillId="9" borderId="0" xfId="0" applyFont="1" applyFill="1" applyBorder="1"/>
    <xf numFmtId="0" fontId="34" fillId="9" borderId="0" xfId="0" applyNumberFormat="1" applyFont="1" applyFill="1" applyBorder="1"/>
    <xf numFmtId="0" fontId="35" fillId="6" borderId="0" xfId="0" applyNumberFormat="1" applyFont="1" applyFill="1" applyBorder="1" applyAlignment="1">
      <alignment horizontal="center"/>
    </xf>
    <xf numFmtId="164" fontId="35" fillId="6" borderId="0" xfId="0" applyNumberFormat="1" applyFont="1" applyFill="1" applyBorder="1" applyAlignment="1">
      <alignment horizontal="center"/>
    </xf>
    <xf numFmtId="164" fontId="34" fillId="6" borderId="0" xfId="0" applyNumberFormat="1" applyFont="1" applyFill="1" applyBorder="1" applyAlignment="1">
      <alignment horizontal="center"/>
    </xf>
    <xf numFmtId="166" fontId="34" fillId="9" borderId="0" xfId="0" applyNumberFormat="1" applyFont="1" applyFill="1" applyBorder="1"/>
    <xf numFmtId="164" fontId="35" fillId="6" borderId="0" xfId="0" applyNumberFormat="1" applyFont="1" applyFill="1" applyBorder="1"/>
    <xf numFmtId="169" fontId="6" fillId="3" borderId="0" xfId="3" applyNumberFormat="1" applyBorder="1" applyAlignment="1" applyProtection="1">
      <alignment horizontal="right" vertical="center"/>
      <protection locked="0"/>
    </xf>
    <xf numFmtId="0" fontId="9" fillId="2" borderId="0" xfId="0" applyFont="1" applyFill="1" applyProtection="1">
      <protection locked="0"/>
    </xf>
    <xf numFmtId="14" fontId="6" fillId="3" borderId="7" xfId="3" applyNumberFormat="1" applyBorder="1" applyProtection="1"/>
    <xf numFmtId="0" fontId="6" fillId="3" borderId="9" xfId="3" applyBorder="1" applyAlignment="1">
      <alignment horizontal="justify" vertical="center"/>
    </xf>
    <xf numFmtId="0" fontId="6" fillId="3" borderId="9" xfId="3" applyBorder="1" applyAlignment="1">
      <alignment horizontal="left" vertical="top" wrapText="1"/>
    </xf>
    <xf numFmtId="0" fontId="6" fillId="3" borderId="9" xfId="3" applyBorder="1" applyAlignment="1">
      <alignment horizontal="left" vertical="top"/>
    </xf>
    <xf numFmtId="0" fontId="36" fillId="11" borderId="9" xfId="7" applyBorder="1" applyAlignment="1" applyProtection="1">
      <alignment horizontal="justify" vertical="top" wrapText="1"/>
      <protection locked="0"/>
    </xf>
    <xf numFmtId="0" fontId="36" fillId="11" borderId="9" xfId="7" applyBorder="1" applyAlignment="1" applyProtection="1">
      <alignment horizontal="left" vertical="top" wrapText="1"/>
      <protection locked="0"/>
    </xf>
    <xf numFmtId="0" fontId="0" fillId="3" borderId="9" xfId="3" applyFont="1" applyBorder="1" applyAlignment="1">
      <alignment horizontal="justify" vertical="center"/>
    </xf>
    <xf numFmtId="0" fontId="0" fillId="3" borderId="9" xfId="3" applyFont="1" applyBorder="1" applyAlignment="1">
      <alignment horizontal="justify" vertical="center" wrapText="1"/>
    </xf>
    <xf numFmtId="0" fontId="0" fillId="3" borderId="9" xfId="3" applyFont="1" applyBorder="1" applyAlignment="1">
      <alignment horizontal="left" vertical="top" wrapText="1"/>
    </xf>
    <xf numFmtId="0" fontId="37" fillId="3" borderId="9" xfId="3" applyFont="1" applyBorder="1" applyAlignment="1">
      <alignment horizontal="justify" vertical="center"/>
    </xf>
    <xf numFmtId="0" fontId="37" fillId="3" borderId="9" xfId="3" applyFont="1" applyBorder="1" applyAlignment="1">
      <alignment horizontal="left" vertical="top" wrapText="1"/>
    </xf>
    <xf numFmtId="0" fontId="28" fillId="0" borderId="0" xfId="6"/>
    <xf numFmtId="14" fontId="34" fillId="9" borderId="7" xfId="0" applyNumberFormat="1" applyFont="1" applyFill="1" applyBorder="1"/>
    <xf numFmtId="165" fontId="34" fillId="6" borderId="7" xfId="0" applyNumberFormat="1" applyFont="1" applyFill="1" applyBorder="1" applyAlignment="1" applyProtection="1">
      <alignment horizontal="center"/>
    </xf>
    <xf numFmtId="165" fontId="34" fillId="6" borderId="7" xfId="0" applyNumberFormat="1" applyFont="1" applyFill="1" applyBorder="1" applyAlignment="1" applyProtection="1"/>
    <xf numFmtId="164" fontId="34" fillId="6" borderId="7" xfId="0" applyNumberFormat="1" applyFont="1" applyFill="1" applyBorder="1" applyAlignment="1" applyProtection="1"/>
    <xf numFmtId="4" fontId="34" fillId="9" borderId="7" xfId="0" applyNumberFormat="1" applyFont="1" applyFill="1" applyBorder="1"/>
    <xf numFmtId="166" fontId="34" fillId="9" borderId="7" xfId="0" applyNumberFormat="1" applyFont="1" applyFill="1" applyBorder="1"/>
    <xf numFmtId="164" fontId="34" fillId="6" borderId="7" xfId="0" applyNumberFormat="1" applyFont="1" applyFill="1" applyBorder="1" applyProtection="1"/>
    <xf numFmtId="164" fontId="34" fillId="6" borderId="7" xfId="0" applyNumberFormat="1" applyFont="1" applyFill="1" applyBorder="1"/>
    <xf numFmtId="0" fontId="13" fillId="0" borderId="1" xfId="3" applyFont="1" applyFill="1" applyBorder="1" applyAlignment="1" applyProtection="1">
      <alignment horizontal="right" vertical="center"/>
      <protection locked="0"/>
    </xf>
    <xf numFmtId="0" fontId="17" fillId="0" borderId="0" xfId="0" applyFont="1" applyFill="1" applyAlignment="1">
      <alignment horizontal="right"/>
    </xf>
    <xf numFmtId="0" fontId="38" fillId="0" borderId="0" xfId="0" applyFont="1" applyFill="1" applyProtection="1">
      <protection locked="0"/>
    </xf>
    <xf numFmtId="0" fontId="1" fillId="2" borderId="0" xfId="0" applyFont="1" applyFill="1" applyAlignment="1" applyProtection="1">
      <alignment horizontal="right"/>
    </xf>
    <xf numFmtId="167" fontId="7" fillId="0" borderId="0" xfId="4" applyNumberFormat="1" applyFont="1" applyFill="1" applyBorder="1"/>
    <xf numFmtId="14" fontId="34" fillId="9" borderId="7" xfId="0" applyNumberFormat="1" applyFont="1" applyFill="1" applyBorder="1" applyProtection="1">
      <protection locked="0"/>
    </xf>
    <xf numFmtId="170" fontId="6" fillId="3" borderId="0" xfId="3" applyNumberFormat="1"/>
    <xf numFmtId="0" fontId="6" fillId="3" borderId="7" xfId="3" applyBorder="1" applyAlignment="1" applyProtection="1">
      <alignment horizontal="center"/>
    </xf>
    <xf numFmtId="0" fontId="6" fillId="3" borderId="7" xfId="3" applyBorder="1" applyProtection="1"/>
    <xf numFmtId="4" fontId="6" fillId="7" borderId="7" xfId="5" applyNumberFormat="1" applyBorder="1" applyAlignment="1" applyProtection="1">
      <alignment horizontal="center"/>
      <protection locked="0"/>
    </xf>
    <xf numFmtId="0" fontId="6" fillId="3" borderId="7" xfId="3" applyBorder="1"/>
    <xf numFmtId="0" fontId="0" fillId="0" borderId="0" xfId="0" applyAlignment="1">
      <alignment horizontal="center" vertical="center"/>
    </xf>
    <xf numFmtId="0" fontId="0" fillId="0" borderId="1" xfId="3" applyFont="1" applyFill="1" applyBorder="1" applyAlignment="1" applyProtection="1">
      <alignment horizontal="right" vertical="center"/>
    </xf>
    <xf numFmtId="0" fontId="6" fillId="0" borderId="1" xfId="3" applyFill="1" applyBorder="1" applyAlignment="1" applyProtection="1">
      <alignment horizontal="right" vertical="center"/>
    </xf>
    <xf numFmtId="0" fontId="17" fillId="5" borderId="0" xfId="0" applyFont="1" applyFill="1" applyAlignment="1">
      <alignment horizontal="left" vertical="top" wrapText="1"/>
    </xf>
    <xf numFmtId="0" fontId="0" fillId="7" borderId="0" xfId="5" applyFont="1" applyAlignment="1" applyProtection="1">
      <alignment horizontal="left" vertical="top"/>
      <protection locked="0"/>
    </xf>
    <xf numFmtId="0" fontId="6" fillId="7" borderId="0" xfId="5" applyAlignment="1" applyProtection="1">
      <alignment horizontal="left" vertical="top"/>
      <protection locked="0"/>
    </xf>
    <xf numFmtId="0" fontId="22" fillId="0" borderId="0" xfId="0" applyFont="1" applyFill="1" applyAlignment="1" applyProtection="1">
      <alignment horizontal="left" vertical="top" wrapText="1"/>
    </xf>
  </cellXfs>
  <cellStyles count="8">
    <cellStyle name="20 % - Akzent1" xfId="5" builtinId="30"/>
    <cellStyle name="40 % - Akzent1" xfId="3" builtinId="31"/>
    <cellStyle name="Akzent1" xfId="7" builtinId="29"/>
    <cellStyle name="Komma" xfId="4" builtinId="3"/>
    <cellStyle name="Link" xfId="6" builtinId="8"/>
    <cellStyle name="Prozent 2" xfId="2"/>
    <cellStyle name="Standard" xfId="0" builtinId="0"/>
    <cellStyle name="Standard 2" xfId="1"/>
  </cellStyles>
  <dxfs count="66">
    <dxf>
      <numFmt numFmtId="164" formatCode="_-* #,##0.00\ _€_-;\-* #,##0.00\ _€_-;_-* &quot;-&quot;??\ _€_-;_-@_-"/>
    </dxf>
    <dxf>
      <numFmt numFmtId="164" formatCode="_-* #,##0.00\ _€_-;\-* #,##0.00\ _€_-;_-* &quot;-&quot;??\ _€_-;_-@_-"/>
    </dxf>
    <dxf>
      <numFmt numFmtId="164" formatCode="_-* #,##0.00\ _€_-;\-* #,##0.00\ _€_-;_-* &quot;-&quot;??\ _€_-;_-@_-"/>
    </dxf>
    <dxf>
      <numFmt numFmtId="170" formatCode="#,##0_ ;\-#,##0\ "/>
    </dxf>
    <dxf>
      <numFmt numFmtId="170" formatCode="#,##0_ ;\-#,##0\ "/>
    </dxf>
    <dxf>
      <numFmt numFmtId="170" formatCode="#,##0_ ;\-#,##0\ "/>
    </dxf>
    <dxf>
      <alignment horizontal="general" vertical="top" textRotation="0" wrapText="1" indent="0" justifyLastLine="0" shrinkToFit="0" readingOrder="0"/>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9" formatCode="dd/mm/yyyy"/>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protection locked="0" hidden="0"/>
    </dxf>
    <dxf>
      <numFmt numFmtId="19" formatCode="dd/mm/yyyy"/>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1"/>
        <color theme="1"/>
        <name val="Verdana"/>
        <scheme val="none"/>
      </font>
      <numFmt numFmtId="4" formatCode="#,##0.00"/>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4" formatCode="#,##0.00"/>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protection locked="1" hidden="0"/>
    </dxf>
    <dxf>
      <numFmt numFmtId="164" formatCode="_-* #,##0.00\ _€_-;\-* #,##0.00\ _€_-;_-* &quot;-&quot;??\ _€_-;_-@_-"/>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protection locked="1" hidden="0"/>
    </dxf>
    <dxf>
      <numFmt numFmtId="14" formatCode="0.0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66" formatCode="0.0000%"/>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166" formatCode="0.000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1"/>
        <color theme="1"/>
        <name val="Verdana"/>
        <scheme val="none"/>
      </font>
      <numFmt numFmtId="4" formatCode="#,##0.00"/>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4" formatCode="#,##0.0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1" hidden="0"/>
    </dxf>
    <dxf>
      <font>
        <b val="0"/>
        <i val="0"/>
        <strike val="0"/>
        <condense val="0"/>
        <extend val="0"/>
        <outline val="0"/>
        <shadow val="0"/>
        <u val="none"/>
        <vertAlign val="baseline"/>
        <sz val="11"/>
        <color theme="1"/>
        <name val="Verdana"/>
        <scheme val="none"/>
      </font>
      <numFmt numFmtId="165" formatCode="_-* #,##0\ _€_-;\-* #,##0\ _€_-;_-* &quot;-&quot;??\ _€_-;_-@_-"/>
      <fill>
        <patternFill patternType="solid">
          <fgColor indexed="64"/>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1" hidden="0"/>
    </dxf>
    <dxf>
      <font>
        <b val="0"/>
        <i val="0"/>
        <strike val="0"/>
        <condense val="0"/>
        <extend val="0"/>
        <outline val="0"/>
        <shadow val="0"/>
        <u val="none"/>
        <vertAlign val="baseline"/>
        <sz val="11"/>
        <color theme="1"/>
        <name val="Verdana"/>
        <scheme val="none"/>
      </font>
      <numFmt numFmtId="165" formatCode="_-* #,##0\ _€_-;\-* #,##0\ _€_-;_-* &quot;-&quot;??\ _€_-;_-@_-"/>
      <fill>
        <patternFill patternType="solid">
          <fgColor indexed="64"/>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font>
        <b val="0"/>
        <i val="0"/>
        <strike val="0"/>
        <condense val="0"/>
        <extend val="0"/>
        <outline val="0"/>
        <shadow val="0"/>
        <u val="none"/>
        <vertAlign val="baseline"/>
        <sz val="11"/>
        <color theme="1"/>
        <name val="Verdana"/>
        <scheme val="none"/>
      </font>
      <numFmt numFmtId="165" formatCode="_-* #,##0\ _€_-;\-* #,##0\ _€_-;_-* &quot;-&quot;??\ _€_-;_-@_-"/>
      <fill>
        <patternFill patternType="solid">
          <fgColor indexed="64"/>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numFmt numFmtId="165" formatCode="_-* #,##0\ _€_-;\-* #,##0\ _€_-;_-* &quot;-&quot;??\ _€_-;_-@_-"/>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font>
        <b val="0"/>
        <i val="0"/>
        <strike val="0"/>
        <condense val="0"/>
        <extend val="0"/>
        <outline val="0"/>
        <shadow val="0"/>
        <u val="none"/>
        <vertAlign val="baseline"/>
        <sz val="11"/>
        <color theme="1"/>
        <name val="Verdana"/>
        <scheme val="none"/>
      </font>
      <numFmt numFmtId="19" formatCode="dd/mm/yyyy"/>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19" formatCode="dd/mm/yyyy"/>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1"/>
        <color theme="1"/>
        <name val="Verdana"/>
        <scheme val="none"/>
      </font>
      <numFmt numFmtId="19" formatCode="dd/mm/yyyy"/>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19" formatCode="dd/mm/yyyy"/>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alignment vertical="top"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dxf>
    <dxf>
      <font>
        <b val="0"/>
        <i val="0"/>
        <strike val="0"/>
        <condense val="0"/>
        <extend val="0"/>
        <outline val="0"/>
        <shadow val="0"/>
        <u val="none"/>
        <vertAlign val="baseline"/>
        <sz val="11"/>
        <color auto="1"/>
        <name val="Verdana"/>
        <scheme val="none"/>
      </font>
      <numFmt numFmtId="164" formatCode="_-* #,##0.00\ _€_-;\-* #,##0.00\ _€_-;_-* &quot;-&quot;??\ _€_-;_-@_-"/>
      <fill>
        <patternFill patternType="solid">
          <fgColor indexed="64"/>
          <bgColor theme="4" tint="0.59999389629810485"/>
        </patternFill>
      </fill>
      <border diagonalUp="0" diagonalDown="0" outline="0">
        <left/>
        <right/>
        <top/>
        <bottom/>
      </border>
    </dxf>
    <dxf>
      <numFmt numFmtId="164" formatCode="_-* #,##0.00\ _€_-;\-* #,##0.00\ _€_-;_-* &quot;-&quot;??\ _€_-;_-@_-"/>
    </dxf>
    <dxf>
      <font>
        <b val="0"/>
        <i val="0"/>
        <strike val="0"/>
        <condense val="0"/>
        <extend val="0"/>
        <outline val="0"/>
        <shadow val="0"/>
        <u val="none"/>
        <vertAlign val="baseline"/>
        <sz val="11"/>
        <color theme="1"/>
        <name val="Verdana"/>
        <scheme val="none"/>
      </font>
      <numFmt numFmtId="166" formatCode="0.0000%"/>
      <fill>
        <patternFill patternType="solid">
          <fgColor indexed="64"/>
          <bgColor theme="4" tint="0.79998168889431442"/>
        </patternFill>
      </fill>
      <border diagonalUp="0" diagonalDown="0" outline="0">
        <left/>
        <right/>
        <top/>
        <bottom/>
      </border>
    </dxf>
    <dxf>
      <numFmt numFmtId="166" formatCode="0.0000%"/>
      <protection locked="0" hidden="0"/>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alignment horizontal="center" vertical="bottom" textRotation="0" wrapText="0" indent="0" justifyLastLine="0" shrinkToFit="0" readingOrder="0"/>
      <border diagonalUp="0" diagonalDown="0" outline="0">
        <left/>
        <right/>
        <top/>
        <bottom/>
      </border>
    </dxf>
    <dxf>
      <numFmt numFmtId="164" formatCode="_-* #,##0.00\ _€_-;\-* #,##0.00\ _€_-;_-* &quot;-&quot;??\ _€_-;_-@_-"/>
      <alignment horizontal="center" vertical="bottom" textRotation="0" wrapText="0" indent="0" justifyLastLine="0" shrinkToFit="0" readingOrder="0"/>
    </dxf>
    <dxf>
      <font>
        <b val="0"/>
        <i val="0"/>
        <strike val="0"/>
        <condense val="0"/>
        <extend val="0"/>
        <outline val="0"/>
        <shadow val="0"/>
        <u val="none"/>
        <vertAlign val="baseline"/>
        <sz val="11"/>
        <color auto="1"/>
        <name val="Verdana"/>
        <scheme val="none"/>
      </font>
      <numFmt numFmtId="164" formatCode="_-* #,##0.00\ _€_-;\-* #,##0.00\ _€_-;_-* &quot;-&quot;??\ _€_-;_-@_-"/>
      <fill>
        <patternFill patternType="solid">
          <fgColor indexed="64"/>
          <bgColor theme="4" tint="0.59999389629810485"/>
        </patternFill>
      </fill>
      <alignment horizontal="center" vertical="bottom" textRotation="0" wrapText="0" indent="0" justifyLastLine="0" shrinkToFit="0" readingOrder="0"/>
      <border diagonalUp="0" diagonalDown="0" outline="0">
        <left/>
        <right/>
        <top/>
        <bottom/>
      </border>
    </dxf>
    <dxf>
      <protection locked="0" hidden="0"/>
    </dxf>
    <dxf>
      <font>
        <b val="0"/>
        <i val="0"/>
        <strike val="0"/>
        <condense val="0"/>
        <extend val="0"/>
        <outline val="0"/>
        <shadow val="0"/>
        <u val="none"/>
        <vertAlign val="baseline"/>
        <sz val="11"/>
        <color auto="1"/>
        <name val="Verdana"/>
        <scheme val="none"/>
      </font>
      <numFmt numFmtId="0" formatCode="General"/>
      <fill>
        <patternFill patternType="solid">
          <fgColor indexed="64"/>
          <bgColor theme="4" tint="0.5999938962981048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Verdana"/>
        <scheme val="none"/>
      </font>
      <numFmt numFmtId="0" formatCode="General"/>
      <fill>
        <patternFill patternType="solid">
          <fgColor indexed="64"/>
          <bgColor theme="4" tint="0.79998168889431442"/>
        </patternFill>
      </fill>
      <border diagonalUp="0" diagonalDown="0" outline="0">
        <left/>
        <right/>
        <top/>
        <bottom/>
      </border>
    </dxf>
    <dxf>
      <protection locked="0" hidden="0"/>
    </dxf>
    <dxf>
      <font>
        <b val="0"/>
        <i val="0"/>
        <strike val="0"/>
        <condense val="0"/>
        <extend val="0"/>
        <outline val="0"/>
        <shadow val="0"/>
        <u val="none"/>
        <vertAlign val="baseline"/>
        <sz val="11"/>
        <color theme="1"/>
        <name val="Verdana"/>
        <scheme val="none"/>
      </font>
      <numFmt numFmtId="0" formatCode="General"/>
      <fill>
        <patternFill patternType="solid">
          <fgColor indexed="64"/>
          <bgColor theme="4" tint="0.79998168889431442"/>
        </patternFill>
      </fill>
      <border diagonalUp="0" diagonalDown="0" outline="0">
        <left/>
        <right/>
        <top/>
        <bottom/>
      </border>
    </dxf>
    <dxf>
      <numFmt numFmtId="0" formatCode="General"/>
      <protection locked="0" hidden="0"/>
    </dxf>
    <dxf>
      <font>
        <b val="0"/>
        <i val="0"/>
        <strike val="0"/>
        <condense val="0"/>
        <extend val="0"/>
        <outline val="0"/>
        <shadow val="0"/>
        <u val="none"/>
        <vertAlign val="baseline"/>
        <sz val="11"/>
        <color theme="1"/>
        <name val="Verdana"/>
        <scheme val="none"/>
      </font>
      <fill>
        <patternFill patternType="solid">
          <fgColor indexed="64"/>
          <bgColor theme="4" tint="0.79998168889431442"/>
        </patternFill>
      </fill>
      <border diagonalUp="0" diagonalDown="0" outline="0">
        <left/>
        <right/>
        <top/>
        <bottom/>
      </border>
    </dxf>
    <dxf>
      <numFmt numFmtId="19" formatCode="dd/mm/yyyy"/>
      <protection locked="0" hidden="0"/>
    </dxf>
    <dxf>
      <font>
        <b val="0"/>
        <i val="0"/>
        <strike val="0"/>
        <condense val="0"/>
        <extend val="0"/>
        <outline val="0"/>
        <shadow val="0"/>
        <u val="none"/>
        <vertAlign val="baseline"/>
        <sz val="11"/>
        <color theme="1"/>
        <name val="Verdana"/>
        <scheme val="none"/>
      </font>
      <fill>
        <patternFill patternType="solid">
          <fgColor indexed="64"/>
          <bgColor theme="4" tint="0.79998168889431442"/>
        </patternFill>
      </fill>
      <border diagonalUp="0" diagonalDown="0" outline="0">
        <left/>
        <right/>
        <top/>
        <bottom/>
      </border>
    </dxf>
    <dxf>
      <protection locked="0" hidden="0"/>
    </dxf>
    <dxf>
      <alignment horizontal="left" vertical="top" textRotation="0" wrapText="1" indent="0" justifyLastLine="0" shrinkToFit="0" readingOrder="0"/>
    </dxf>
    <dxf>
      <font>
        <color rgb="FF006100"/>
      </font>
      <fill>
        <patternFill>
          <bgColor rgb="FFC6EFCE"/>
        </patternFill>
      </fill>
    </dxf>
    <dxf>
      <fill>
        <patternFill>
          <bgColor rgb="FFFFC7CE"/>
        </patternFill>
      </fill>
    </dxf>
    <dxf>
      <font>
        <color rgb="FF9C0006"/>
      </font>
      <fill>
        <patternFill>
          <bgColor rgb="FFFFC7CE"/>
        </patternFill>
      </fill>
    </dxf>
    <dxf>
      <border>
        <vertical style="thin">
          <color auto="1"/>
        </vertical>
        <horizontal style="thin">
          <color auto="1"/>
        </horizontal>
      </border>
    </dxf>
    <dxf>
      <border>
        <vertical style="thin">
          <color auto="1"/>
        </vertical>
        <horizontal style="thin">
          <color auto="1"/>
        </horizontal>
      </border>
    </dxf>
  </dxfs>
  <tableStyles count="3" defaultTableStyle="TableStyleMedium2" defaultPivotStyle="PivotStyleLight16">
    <tableStyle name="Tabellenformat 1" pivot="0" count="1">
      <tableStyleElement type="wholeTable" dxfId="65"/>
    </tableStyle>
    <tableStyle name="Tabellenformat 2" pivot="0" count="0"/>
    <tableStyle name="Tabellenformat 3" pivot="0" count="1">
      <tableStyleElement type="wholeTable" dxfId="6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3" dropStyle="combo" dx="16" fmlaLink="$E$17" fmlaRange="Hilfsblatt!$A$39:$A$41" sel="3"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Lines="3" dropStyle="combo" dx="16" fmlaLink="$K$18" fmlaRange="Hilfsblatt!$A$39:$A$41" sel="3"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Style="combo" dx="16" fmlaLink="$K$20" fmlaRange="Hilfsblatt!$A$49:$A$50" sel="1" val="0"/>
</file>

<file path=xl/ctrlProps/ctrlProp4.xml><?xml version="1.0" encoding="utf-8"?>
<formControlPr xmlns="http://schemas.microsoft.com/office/spreadsheetml/2009/9/main" objectType="Spin" dx="16" fmlaLink="$C$22" max="60" min="1" page="10"/>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55244</xdr:rowOff>
    </xdr:from>
    <xdr:to>
      <xdr:col>0</xdr:col>
      <xdr:colOff>705970</xdr:colOff>
      <xdr:row>8</xdr:row>
      <xdr:rowOff>144986</xdr:rowOff>
    </xdr:to>
    <xdr:sp macro="" textlink="">
      <xdr:nvSpPr>
        <xdr:cNvPr id="4" name="Rectangle 117"/>
        <xdr:cNvSpPr>
          <a:spLocks noChangeArrowheads="1"/>
        </xdr:cNvSpPr>
      </xdr:nvSpPr>
      <xdr:spPr bwMode="auto">
        <a:xfrm>
          <a:off x="0" y="217169"/>
          <a:ext cx="705970" cy="1223217"/>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clientData/>
  </xdr:twoCellAnchor>
  <xdr:twoCellAnchor editAs="oneCell">
    <xdr:from>
      <xdr:col>0</xdr:col>
      <xdr:colOff>638810</xdr:colOff>
      <xdr:row>1</xdr:row>
      <xdr:rowOff>66451</xdr:rowOff>
    </xdr:from>
    <xdr:to>
      <xdr:col>4</xdr:col>
      <xdr:colOff>457200</xdr:colOff>
      <xdr:row>8</xdr:row>
      <xdr:rowOff>144987</xdr:rowOff>
    </xdr:to>
    <xdr:pic>
      <xdr:nvPicPr>
        <xdr:cNvPr id="5" name="Bild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 t="12467" r="2447" b="22835"/>
        <a:stretch/>
      </xdr:blipFill>
      <xdr:spPr bwMode="auto">
        <a:xfrm>
          <a:off x="638810" y="228376"/>
          <a:ext cx="6600190" cy="1212011"/>
        </a:xfrm>
        <a:prstGeom prst="rect">
          <a:avLst/>
        </a:prstGeom>
        <a:ln>
          <a:noFill/>
        </a:ln>
        <a:extLst>
          <a:ext uri="{53640926-AAD7-44D8-BBD7-CCE9431645EC}">
            <a14:shadowObscured xmlns:a14="http://schemas.microsoft.com/office/drawing/2010/main"/>
          </a:ex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6</xdr:col>
      <xdr:colOff>1061271</xdr:colOff>
      <xdr:row>3</xdr:row>
      <xdr:rowOff>86588</xdr:rowOff>
    </xdr:from>
    <xdr:to>
      <xdr:col>8</xdr:col>
      <xdr:colOff>1020668</xdr:colOff>
      <xdr:row>8</xdr:row>
      <xdr:rowOff>74020</xdr:rowOff>
    </xdr:to>
    <xdr:pic>
      <xdr:nvPicPr>
        <xdr:cNvPr id="6" name="Bild 84" descr="WBM_EKG_2008 RGB"/>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8546" y="572363"/>
          <a:ext cx="2759747" cy="797057"/>
        </a:xfrm>
        <a:prstGeom prst="rect">
          <a:avLst/>
        </a:prstGeom>
        <a:noFill/>
        <a:ln>
          <a:noFill/>
        </a:ln>
      </xdr:spPr>
    </xdr:pic>
    <xdr:clientData/>
  </xdr:twoCellAnchor>
  <xdr:twoCellAnchor>
    <xdr:from>
      <xdr:col>0</xdr:col>
      <xdr:colOff>0</xdr:colOff>
      <xdr:row>0</xdr:row>
      <xdr:rowOff>0</xdr:rowOff>
    </xdr:from>
    <xdr:to>
      <xdr:col>8</xdr:col>
      <xdr:colOff>1028143</xdr:colOff>
      <xdr:row>1</xdr:row>
      <xdr:rowOff>123190</xdr:rowOff>
    </xdr:to>
    <xdr:sp macro="" textlink="">
      <xdr:nvSpPr>
        <xdr:cNvPr id="7" name="Eine Ecke des Rechtecks abrunden 6"/>
        <xdr:cNvSpPr/>
      </xdr:nvSpPr>
      <xdr:spPr bwMode="auto">
        <a:xfrm rot="16200000">
          <a:off x="6110326" y="-6110326"/>
          <a:ext cx="285115" cy="12505768"/>
        </a:xfrm>
        <a:prstGeom prst="round1Rect">
          <a:avLst>
            <a:gd name="adj" fmla="val 50000"/>
          </a:avLst>
        </a:prstGeom>
        <a:solidFill>
          <a:srgbClr val="1E5283"/>
        </a:solidFill>
        <a:ln w="9525" cap="flat" cmpd="sng" algn="ctr">
          <a:noFill/>
          <a:prstDash val="solid"/>
          <a:round/>
          <a:headEnd type="none" w="med" len="med"/>
          <a:tailEnd type="none" w="med" len="med"/>
        </a:ln>
        <a:effectLst/>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 uri="{C572A759-6A51-4108-AA02-DFA0A04FC94B}">
            <ma14:wrappingTextBox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wrap="square">
          <a:noAutofit/>
        </a:bodyPr>
        <a:lstStyle/>
        <a:p>
          <a:endParaRPr lang="de-DE"/>
        </a:p>
      </xdr:txBody>
    </xdr:sp>
    <xdr:clientData/>
  </xdr:twoCellAnchor>
  <xdr:twoCellAnchor>
    <xdr:from>
      <xdr:col>0</xdr:col>
      <xdr:colOff>695325</xdr:colOff>
      <xdr:row>2</xdr:row>
      <xdr:rowOff>31750</xdr:rowOff>
    </xdr:from>
    <xdr:to>
      <xdr:col>5</xdr:col>
      <xdr:colOff>28575</xdr:colOff>
      <xdr:row>8</xdr:row>
      <xdr:rowOff>50800</xdr:rowOff>
    </xdr:to>
    <xdr:sp macro="" textlink="">
      <xdr:nvSpPr>
        <xdr:cNvPr id="3" name="Textfeld 2"/>
        <xdr:cNvSpPr txBox="1"/>
      </xdr:nvSpPr>
      <xdr:spPr>
        <a:xfrm>
          <a:off x="695325" y="355600"/>
          <a:ext cx="6524625"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latin typeface="Arial" panose="020B0604020202020204" pitchFamily="34" charset="0"/>
              <a:cs typeface="Arial" panose="020B0604020202020204" pitchFamily="34" charset="0"/>
            </a:rPr>
            <a:t>Attachment to the application for indemnification</a:t>
          </a:r>
          <a:endParaRPr lang="de-DE" sz="1400" b="1" baseline="0">
            <a:latin typeface="Arial" panose="020B0604020202020204" pitchFamily="34" charset="0"/>
            <a:cs typeface="Arial" panose="020B0604020202020204" pitchFamily="34" charset="0"/>
          </a:endParaRPr>
        </a:p>
        <a:p>
          <a:endParaRPr lang="de-DE" sz="1200" baseline="0">
            <a:latin typeface="Arial" panose="020B0604020202020204" pitchFamily="34" charset="0"/>
            <a:cs typeface="Arial" panose="020B0604020202020204" pitchFamily="34" charset="0"/>
          </a:endParaRPr>
        </a:p>
        <a:p>
          <a:endParaRPr lang="de-DE" sz="1200" baseline="0">
            <a:latin typeface="Arial" panose="020B0604020202020204" pitchFamily="34" charset="0"/>
            <a:cs typeface="Arial" panose="020B0604020202020204" pitchFamily="34" charset="0"/>
          </a:endParaRPr>
        </a:p>
        <a:p>
          <a:pPr algn="r"/>
          <a:r>
            <a:rPr lang="de-DE" sz="1200" b="1" baseline="0">
              <a:latin typeface="Arial" panose="020B0604020202020204" pitchFamily="34" charset="0"/>
              <a:cs typeface="Arial" panose="020B0604020202020204" pitchFamily="34" charset="0"/>
            </a:rPr>
            <a:t>Buyer Credit Guarantee (BCG)</a:t>
          </a:r>
          <a:endParaRPr lang="de-DE" sz="12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60287</xdr:rowOff>
    </xdr:from>
    <xdr:to>
      <xdr:col>0</xdr:col>
      <xdr:colOff>705970</xdr:colOff>
      <xdr:row>9</xdr:row>
      <xdr:rowOff>28445</xdr:rowOff>
    </xdr:to>
    <xdr:sp macro="" textlink="">
      <xdr:nvSpPr>
        <xdr:cNvPr id="4" name="Rectangle 117"/>
        <xdr:cNvSpPr>
          <a:spLocks noChangeArrowheads="1"/>
        </xdr:cNvSpPr>
      </xdr:nvSpPr>
      <xdr:spPr bwMode="auto">
        <a:xfrm>
          <a:off x="0" y="217169"/>
          <a:ext cx="705970" cy="1223217"/>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clientData/>
  </xdr:twoCellAnchor>
  <xdr:twoCellAnchor editAs="oneCell">
    <xdr:from>
      <xdr:col>0</xdr:col>
      <xdr:colOff>638810</xdr:colOff>
      <xdr:row>1</xdr:row>
      <xdr:rowOff>71494</xdr:rowOff>
    </xdr:from>
    <xdr:to>
      <xdr:col>4</xdr:col>
      <xdr:colOff>907676</xdr:colOff>
      <xdr:row>9</xdr:row>
      <xdr:rowOff>28446</xdr:rowOff>
    </xdr:to>
    <xdr:pic>
      <xdr:nvPicPr>
        <xdr:cNvPr id="5" name="Bild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 t="12467" r="2447" b="22835"/>
        <a:stretch/>
      </xdr:blipFill>
      <xdr:spPr bwMode="auto">
        <a:xfrm>
          <a:off x="638810" y="228376"/>
          <a:ext cx="6600190" cy="1212011"/>
        </a:xfrm>
        <a:prstGeom prst="rect">
          <a:avLst/>
        </a:prstGeom>
        <a:ln>
          <a:noFill/>
        </a:ln>
        <a:extLst>
          <a:ext uri="{53640926-AAD7-44D8-BBD7-CCE9431645EC}">
            <a14:shadowObscured xmlns:a14="http://schemas.microsoft.com/office/drawing/2010/main"/>
          </a:ex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6</xdr:col>
      <xdr:colOff>1614281</xdr:colOff>
      <xdr:row>3</xdr:row>
      <xdr:rowOff>101716</xdr:rowOff>
    </xdr:from>
    <xdr:to>
      <xdr:col>8</xdr:col>
      <xdr:colOff>48558</xdr:colOff>
      <xdr:row>8</xdr:row>
      <xdr:rowOff>114361</xdr:rowOff>
    </xdr:to>
    <xdr:pic>
      <xdr:nvPicPr>
        <xdr:cNvPr id="6" name="Bild 84" descr="WBM_EKG_2008 RGB"/>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8546" y="572363"/>
          <a:ext cx="2759747" cy="797057"/>
        </a:xfrm>
        <a:prstGeom prst="rect">
          <a:avLst/>
        </a:prstGeom>
        <a:noFill/>
        <a:ln>
          <a:noFill/>
        </a:ln>
      </xdr:spPr>
    </xdr:pic>
    <xdr:clientData/>
  </xdr:twoCellAnchor>
  <xdr:twoCellAnchor>
    <xdr:from>
      <xdr:col>0</xdr:col>
      <xdr:colOff>0</xdr:colOff>
      <xdr:row>0</xdr:row>
      <xdr:rowOff>0</xdr:rowOff>
    </xdr:from>
    <xdr:to>
      <xdr:col>8</xdr:col>
      <xdr:colOff>56033</xdr:colOff>
      <xdr:row>1</xdr:row>
      <xdr:rowOff>128233</xdr:rowOff>
    </xdr:to>
    <xdr:sp macro="" textlink="">
      <xdr:nvSpPr>
        <xdr:cNvPr id="7" name="Eine Ecke des Rechtecks abrunden 6"/>
        <xdr:cNvSpPr/>
      </xdr:nvSpPr>
      <xdr:spPr bwMode="auto">
        <a:xfrm rot="16200000">
          <a:off x="6110326" y="-6110326"/>
          <a:ext cx="285115" cy="12505768"/>
        </a:xfrm>
        <a:prstGeom prst="round1Rect">
          <a:avLst>
            <a:gd name="adj" fmla="val 50000"/>
          </a:avLst>
        </a:prstGeom>
        <a:solidFill>
          <a:srgbClr val="1E5283"/>
        </a:solidFill>
        <a:ln w="9525" cap="flat" cmpd="sng" algn="ctr">
          <a:noFill/>
          <a:prstDash val="solid"/>
          <a:round/>
          <a:headEnd type="none" w="med" len="med"/>
          <a:tailEnd type="none" w="med" len="med"/>
        </a:ln>
        <a:effectLst/>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 uri="{C572A759-6A51-4108-AA02-DFA0A04FC94B}">
            <ma14:wrappingTextBox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wrap="square">
          <a:noAutofit/>
        </a:bodyPr>
        <a:lstStyle/>
        <a:p>
          <a:endParaRPr lang="de-DE"/>
        </a:p>
      </xdr:txBody>
    </xdr:sp>
    <xdr:clientData/>
  </xdr:twoCellAnchor>
  <xdr:twoCellAnchor>
    <xdr:from>
      <xdr:col>0</xdr:col>
      <xdr:colOff>672353</xdr:colOff>
      <xdr:row>2</xdr:row>
      <xdr:rowOff>85725</xdr:rowOff>
    </xdr:from>
    <xdr:to>
      <xdr:col>5</xdr:col>
      <xdr:colOff>526677</xdr:colOff>
      <xdr:row>8</xdr:row>
      <xdr:rowOff>85725</xdr:rowOff>
    </xdr:to>
    <xdr:sp macro="" textlink="">
      <xdr:nvSpPr>
        <xdr:cNvPr id="3" name="Textfeld 2"/>
        <xdr:cNvSpPr txBox="1"/>
      </xdr:nvSpPr>
      <xdr:spPr>
        <a:xfrm>
          <a:off x="672353" y="399490"/>
          <a:ext cx="6577853" cy="94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latin typeface="Arial" panose="020B0604020202020204" pitchFamily="34" charset="0"/>
              <a:cs typeface="Arial" panose="020B0604020202020204" pitchFamily="34" charset="0"/>
            </a:rPr>
            <a:t>Attachment to the application for indemnification</a:t>
          </a:r>
          <a:endParaRPr lang="de-DE" sz="1400" b="1" baseline="0">
            <a:latin typeface="Arial" panose="020B0604020202020204" pitchFamily="34" charset="0"/>
            <a:cs typeface="Arial" panose="020B0604020202020204" pitchFamily="34" charset="0"/>
          </a:endParaRPr>
        </a:p>
        <a:p>
          <a:endParaRPr lang="de-DE" sz="1400" b="1" baseline="0">
            <a:latin typeface="Arial" panose="020B0604020202020204" pitchFamily="34" charset="0"/>
            <a:cs typeface="Arial" panose="020B0604020202020204" pitchFamily="34" charset="0"/>
          </a:endParaRPr>
        </a:p>
        <a:p>
          <a:r>
            <a:rPr lang="de-DE" sz="1400" b="1" baseline="0">
              <a:latin typeface="Arial" panose="020B0604020202020204" pitchFamily="34" charset="0"/>
              <a:cs typeface="Arial" panose="020B0604020202020204" pitchFamily="34" charset="0"/>
            </a:rPr>
            <a:t>				   </a:t>
          </a:r>
          <a:r>
            <a:rPr lang="de-DE" sz="1200" b="1" baseline="0">
              <a:solidFill>
                <a:schemeClr val="dk1"/>
              </a:solidFill>
              <a:effectLst/>
              <a:latin typeface="Arial" panose="020B0604020202020204" pitchFamily="34" charset="0"/>
              <a:ea typeface="+mn-ea"/>
              <a:cs typeface="Arial" panose="020B0604020202020204" pitchFamily="34" charset="0"/>
            </a:rPr>
            <a:t>Buyer Credit Guarantee (BCG)</a:t>
          </a:r>
          <a:endParaRPr lang="de-DE" sz="1200">
            <a:effectLst/>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171450</xdr:colOff>
          <xdr:row>16</xdr:row>
          <xdr:rowOff>57150</xdr:rowOff>
        </xdr:from>
        <xdr:to>
          <xdr:col>2</xdr:col>
          <xdr:colOff>1581150</xdr:colOff>
          <xdr:row>17</xdr:row>
          <xdr:rowOff>28575</xdr:rowOff>
        </xdr:to>
        <xdr:sp macro="" textlink="">
          <xdr:nvSpPr>
            <xdr:cNvPr id="2051" name="Drop Down 3" descr="Please enter an interest calculation method.&#10;&#10;"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17</xdr:row>
          <xdr:rowOff>171450</xdr:rowOff>
        </xdr:to>
        <xdr:sp macro="" textlink="">
          <xdr:nvSpPr>
            <xdr:cNvPr id="3077" name="Drop Down 5" descr="Bitte geben Sie die verwendete Zinsmethode an.&#10;"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3</xdr:col>
          <xdr:colOff>0</xdr:colOff>
          <xdr:row>19</xdr:row>
          <xdr:rowOff>190500</xdr:rowOff>
        </xdr:to>
        <xdr:sp macro="" textlink="">
          <xdr:nvSpPr>
            <xdr:cNvPr id="3078" name="Drop Down 6" hidden="1">
              <a:extLst>
                <a:ext uri="{63B3BB69-23CF-44E3-9099-C40C66FF867C}">
                  <a14:compatExt spid="_x0000_s3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20</xdr:row>
          <xdr:rowOff>171450</xdr:rowOff>
        </xdr:from>
        <xdr:to>
          <xdr:col>3</xdr:col>
          <xdr:colOff>419100</xdr:colOff>
          <xdr:row>21</xdr:row>
          <xdr:rowOff>180975</xdr:rowOff>
        </xdr:to>
        <xdr:sp macro="" textlink="">
          <xdr:nvSpPr>
            <xdr:cNvPr id="3127" name="Spinner 55" hidden="1">
              <a:extLst>
                <a:ext uri="{63B3BB69-23CF-44E3-9099-C40C66FF867C}">
                  <a14:compatExt spid="_x0000_s312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1</xdr:row>
      <xdr:rowOff>60287</xdr:rowOff>
    </xdr:from>
    <xdr:to>
      <xdr:col>0</xdr:col>
      <xdr:colOff>705970</xdr:colOff>
      <xdr:row>9</xdr:row>
      <xdr:rowOff>28445</xdr:rowOff>
    </xdr:to>
    <xdr:sp macro="" textlink="">
      <xdr:nvSpPr>
        <xdr:cNvPr id="7" name="Rectangle 117"/>
        <xdr:cNvSpPr>
          <a:spLocks noChangeArrowheads="1"/>
        </xdr:cNvSpPr>
      </xdr:nvSpPr>
      <xdr:spPr bwMode="auto">
        <a:xfrm>
          <a:off x="0" y="217169"/>
          <a:ext cx="705970" cy="1223217"/>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clientData/>
  </xdr:twoCellAnchor>
  <xdr:twoCellAnchor editAs="oneCell">
    <xdr:from>
      <xdr:col>0</xdr:col>
      <xdr:colOff>638810</xdr:colOff>
      <xdr:row>1</xdr:row>
      <xdr:rowOff>71494</xdr:rowOff>
    </xdr:from>
    <xdr:to>
      <xdr:col>5</xdr:col>
      <xdr:colOff>224118</xdr:colOff>
      <xdr:row>9</xdr:row>
      <xdr:rowOff>28446</xdr:rowOff>
    </xdr:to>
    <xdr:pic>
      <xdr:nvPicPr>
        <xdr:cNvPr id="8" name="Bild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 t="12467" r="2447" b="22835"/>
        <a:stretch/>
      </xdr:blipFill>
      <xdr:spPr bwMode="auto">
        <a:xfrm>
          <a:off x="638810" y="228376"/>
          <a:ext cx="6600190" cy="1212011"/>
        </a:xfrm>
        <a:prstGeom prst="rect">
          <a:avLst/>
        </a:prstGeom>
        <a:ln>
          <a:noFill/>
        </a:ln>
        <a:extLst>
          <a:ext uri="{53640926-AAD7-44D8-BBD7-CCE9431645EC}">
            <a14:shadowObscured xmlns:a14="http://schemas.microsoft.com/office/drawing/2010/main"/>
          </a:ex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6</xdr:col>
      <xdr:colOff>560928</xdr:colOff>
      <xdr:row>3</xdr:row>
      <xdr:rowOff>101716</xdr:rowOff>
    </xdr:from>
    <xdr:to>
      <xdr:col>7</xdr:col>
      <xdr:colOff>1157940</xdr:colOff>
      <xdr:row>8</xdr:row>
      <xdr:rowOff>114361</xdr:rowOff>
    </xdr:to>
    <xdr:pic>
      <xdr:nvPicPr>
        <xdr:cNvPr id="9" name="Bild 84" descr="WBM_EKG_2008 RGB"/>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8546" y="572363"/>
          <a:ext cx="2759747" cy="797057"/>
        </a:xfrm>
        <a:prstGeom prst="rect">
          <a:avLst/>
        </a:prstGeom>
        <a:noFill/>
        <a:ln>
          <a:noFill/>
        </a:ln>
      </xdr:spPr>
    </xdr:pic>
    <xdr:clientData/>
  </xdr:twoCellAnchor>
  <xdr:twoCellAnchor>
    <xdr:from>
      <xdr:col>0</xdr:col>
      <xdr:colOff>0</xdr:colOff>
      <xdr:row>0</xdr:row>
      <xdr:rowOff>0</xdr:rowOff>
    </xdr:from>
    <xdr:to>
      <xdr:col>7</xdr:col>
      <xdr:colOff>1165415</xdr:colOff>
      <xdr:row>1</xdr:row>
      <xdr:rowOff>128233</xdr:rowOff>
    </xdr:to>
    <xdr:sp macro="" textlink="">
      <xdr:nvSpPr>
        <xdr:cNvPr id="10" name="Eine Ecke des Rechtecks abrunden 9"/>
        <xdr:cNvSpPr/>
      </xdr:nvSpPr>
      <xdr:spPr bwMode="auto">
        <a:xfrm rot="16200000">
          <a:off x="6110326" y="-6110326"/>
          <a:ext cx="285115" cy="12505768"/>
        </a:xfrm>
        <a:prstGeom prst="round1Rect">
          <a:avLst>
            <a:gd name="adj" fmla="val 50000"/>
          </a:avLst>
        </a:prstGeom>
        <a:solidFill>
          <a:srgbClr val="1E5283"/>
        </a:solidFill>
        <a:ln w="9525" cap="flat" cmpd="sng" algn="ctr">
          <a:noFill/>
          <a:prstDash val="solid"/>
          <a:round/>
          <a:headEnd type="none" w="med" len="med"/>
          <a:tailEnd type="none" w="med" len="med"/>
        </a:ln>
        <a:effectLst/>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 uri="{C572A759-6A51-4108-AA02-DFA0A04FC94B}">
            <ma14:wrappingTextBox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wrap="square">
          <a:noAutofit/>
        </a:bodyPr>
        <a:lstStyle/>
        <a:p>
          <a:endParaRPr lang="de-DE"/>
        </a:p>
      </xdr:txBody>
    </xdr:sp>
    <xdr:clientData/>
  </xdr:twoCellAnchor>
  <xdr:twoCellAnchor>
    <xdr:from>
      <xdr:col>0</xdr:col>
      <xdr:colOff>717176</xdr:colOff>
      <xdr:row>2</xdr:row>
      <xdr:rowOff>85725</xdr:rowOff>
    </xdr:from>
    <xdr:to>
      <xdr:col>5</xdr:col>
      <xdr:colOff>212913</xdr:colOff>
      <xdr:row>8</xdr:row>
      <xdr:rowOff>85725</xdr:rowOff>
    </xdr:to>
    <xdr:sp macro="" textlink="">
      <xdr:nvSpPr>
        <xdr:cNvPr id="3" name="Textfeld 2"/>
        <xdr:cNvSpPr txBox="1"/>
      </xdr:nvSpPr>
      <xdr:spPr>
        <a:xfrm>
          <a:off x="717176" y="399490"/>
          <a:ext cx="6510619" cy="94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solidFill>
                <a:schemeClr val="dk1"/>
              </a:solidFill>
              <a:effectLst/>
              <a:latin typeface="Arial" panose="020B0604020202020204" pitchFamily="34" charset="0"/>
              <a:ea typeface="+mn-ea"/>
              <a:cs typeface="Arial" panose="020B0604020202020204" pitchFamily="34" charset="0"/>
            </a:rPr>
            <a:t>Attachment to the application for indemnification</a:t>
          </a:r>
        </a:p>
        <a:p>
          <a:endParaRPr lang="de-DE" sz="1400">
            <a:effectLst/>
            <a:latin typeface="Arial" panose="020B0604020202020204" pitchFamily="34" charset="0"/>
            <a:cs typeface="Arial" panose="020B0604020202020204" pitchFamily="34" charset="0"/>
          </a:endParaRPr>
        </a:p>
        <a:p>
          <a:r>
            <a:rPr lang="de-DE" sz="1400" b="1" baseline="0">
              <a:latin typeface="Arial" panose="020B0604020202020204" pitchFamily="34" charset="0"/>
              <a:cs typeface="Arial" panose="020B0604020202020204" pitchFamily="34" charset="0"/>
            </a:rPr>
            <a:t>				</a:t>
          </a:r>
          <a:r>
            <a:rPr lang="de-DE" sz="1200" b="1" baseline="0">
              <a:latin typeface="Arial" panose="020B0604020202020204" pitchFamily="34" charset="0"/>
              <a:cs typeface="Arial" panose="020B0604020202020204" pitchFamily="34" charset="0"/>
            </a:rPr>
            <a:t>Buyer Credit Guarantee (BCG)</a:t>
          </a:r>
          <a:endParaRPr lang="de-DE" sz="12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33238</xdr:rowOff>
    </xdr:from>
    <xdr:to>
      <xdr:col>0</xdr:col>
      <xdr:colOff>705970</xdr:colOff>
      <xdr:row>7</xdr:row>
      <xdr:rowOff>152869</xdr:rowOff>
    </xdr:to>
    <xdr:sp macro="" textlink="">
      <xdr:nvSpPr>
        <xdr:cNvPr id="5" name="Rectangle 117"/>
        <xdr:cNvSpPr>
          <a:spLocks noChangeArrowheads="1"/>
        </xdr:cNvSpPr>
      </xdr:nvSpPr>
      <xdr:spPr bwMode="auto">
        <a:xfrm>
          <a:off x="0" y="217169"/>
          <a:ext cx="705970" cy="1223217"/>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clientData/>
  </xdr:twoCellAnchor>
  <xdr:twoCellAnchor editAs="oneCell">
    <xdr:from>
      <xdr:col>0</xdr:col>
      <xdr:colOff>638810</xdr:colOff>
      <xdr:row>1</xdr:row>
      <xdr:rowOff>44445</xdr:rowOff>
    </xdr:from>
    <xdr:to>
      <xdr:col>5</xdr:col>
      <xdr:colOff>164224</xdr:colOff>
      <xdr:row>7</xdr:row>
      <xdr:rowOff>152870</xdr:rowOff>
    </xdr:to>
    <xdr:pic>
      <xdr:nvPicPr>
        <xdr:cNvPr id="6" name="Bild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 t="12467" r="2447" b="22835"/>
        <a:stretch/>
      </xdr:blipFill>
      <xdr:spPr bwMode="auto">
        <a:xfrm>
          <a:off x="638810" y="228376"/>
          <a:ext cx="6600190" cy="1212011"/>
        </a:xfrm>
        <a:prstGeom prst="rect">
          <a:avLst/>
        </a:prstGeom>
        <a:ln>
          <a:noFill/>
        </a:ln>
        <a:extLst>
          <a:ext uri="{53640926-AAD7-44D8-BBD7-CCE9431645EC}">
            <a14:shadowObscured xmlns:a14="http://schemas.microsoft.com/office/drawing/2010/main"/>
          </a:ex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6</xdr:col>
      <xdr:colOff>1264580</xdr:colOff>
      <xdr:row>3</xdr:row>
      <xdr:rowOff>20570</xdr:rowOff>
    </xdr:from>
    <xdr:to>
      <xdr:col>8</xdr:col>
      <xdr:colOff>109224</xdr:colOff>
      <xdr:row>7</xdr:row>
      <xdr:rowOff>81903</xdr:rowOff>
    </xdr:to>
    <xdr:pic>
      <xdr:nvPicPr>
        <xdr:cNvPr id="7" name="Bild 84" descr="WBM_EKG_2008 RGB"/>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8546" y="572363"/>
          <a:ext cx="2759747" cy="797057"/>
        </a:xfrm>
        <a:prstGeom prst="rect">
          <a:avLst/>
        </a:prstGeom>
        <a:noFill/>
        <a:ln>
          <a:noFill/>
        </a:ln>
      </xdr:spPr>
    </xdr:pic>
    <xdr:clientData/>
  </xdr:twoCellAnchor>
  <xdr:twoCellAnchor>
    <xdr:from>
      <xdr:col>0</xdr:col>
      <xdr:colOff>0</xdr:colOff>
      <xdr:row>0</xdr:row>
      <xdr:rowOff>0</xdr:rowOff>
    </xdr:from>
    <xdr:to>
      <xdr:col>8</xdr:col>
      <xdr:colOff>116699</xdr:colOff>
      <xdr:row>1</xdr:row>
      <xdr:rowOff>101184</xdr:rowOff>
    </xdr:to>
    <xdr:sp macro="" textlink="">
      <xdr:nvSpPr>
        <xdr:cNvPr id="8" name="Eine Ecke des Rechtecks abrunden 7"/>
        <xdr:cNvSpPr/>
      </xdr:nvSpPr>
      <xdr:spPr bwMode="auto">
        <a:xfrm rot="16200000">
          <a:off x="6110326" y="-6110326"/>
          <a:ext cx="285115" cy="12505768"/>
        </a:xfrm>
        <a:prstGeom prst="round1Rect">
          <a:avLst>
            <a:gd name="adj" fmla="val 50000"/>
          </a:avLst>
        </a:prstGeom>
        <a:solidFill>
          <a:srgbClr val="1E5283"/>
        </a:solidFill>
        <a:ln w="9525" cap="flat" cmpd="sng" algn="ctr">
          <a:noFill/>
          <a:prstDash val="solid"/>
          <a:round/>
          <a:headEnd type="none" w="med" len="med"/>
          <a:tailEnd type="none" w="med" len="med"/>
        </a:ln>
        <a:effectLst/>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 uri="{C572A759-6A51-4108-AA02-DFA0A04FC94B}">
            <ma14:wrappingTextBox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wrap="square">
          <a:noAutofit/>
        </a:bodyPr>
        <a:lstStyle/>
        <a:p>
          <a:endParaRPr lang="de-DE"/>
        </a:p>
      </xdr:txBody>
    </xdr:sp>
    <xdr:clientData/>
  </xdr:twoCellAnchor>
  <xdr:twoCellAnchor>
    <xdr:from>
      <xdr:col>0</xdr:col>
      <xdr:colOff>696310</xdr:colOff>
      <xdr:row>2</xdr:row>
      <xdr:rowOff>114300</xdr:rowOff>
    </xdr:from>
    <xdr:to>
      <xdr:col>5</xdr:col>
      <xdr:colOff>164225</xdr:colOff>
      <xdr:row>7</xdr:row>
      <xdr:rowOff>150719</xdr:rowOff>
    </xdr:to>
    <xdr:sp macro="" textlink="">
      <xdr:nvSpPr>
        <xdr:cNvPr id="4" name="Textfeld 3"/>
        <xdr:cNvSpPr txBox="1"/>
      </xdr:nvSpPr>
      <xdr:spPr>
        <a:xfrm>
          <a:off x="696310" y="482162"/>
          <a:ext cx="6542691" cy="956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latin typeface="Arial" panose="020B0604020202020204" pitchFamily="34" charset="0"/>
              <a:cs typeface="Arial" panose="020B0604020202020204" pitchFamily="34" charset="0"/>
            </a:rPr>
            <a:t>Attachment to the application</a:t>
          </a:r>
          <a:r>
            <a:rPr lang="de-DE" sz="1400" b="1" baseline="0">
              <a:latin typeface="Arial" panose="020B0604020202020204" pitchFamily="34" charset="0"/>
              <a:cs typeface="Arial" panose="020B0604020202020204" pitchFamily="34" charset="0"/>
            </a:rPr>
            <a:t> for indemnification</a:t>
          </a:r>
        </a:p>
        <a:p>
          <a:endParaRPr lang="de-DE" sz="1400" b="1" baseline="0">
            <a:latin typeface="Arial" panose="020B0604020202020204" pitchFamily="34" charset="0"/>
            <a:cs typeface="Arial" panose="020B0604020202020204" pitchFamily="34" charset="0"/>
          </a:endParaRPr>
        </a:p>
        <a:p>
          <a:r>
            <a:rPr lang="de-DE" sz="1400" b="1" baseline="0">
              <a:latin typeface="Arial" panose="020B0604020202020204" pitchFamily="34" charset="0"/>
              <a:cs typeface="Arial" panose="020B0604020202020204" pitchFamily="34" charset="0"/>
            </a:rPr>
            <a:t>				</a:t>
          </a:r>
          <a:r>
            <a:rPr lang="de-DE" sz="1200" b="1" baseline="0">
              <a:latin typeface="Arial" panose="020B0604020202020204" pitchFamily="34" charset="0"/>
              <a:cs typeface="Arial" panose="020B0604020202020204" pitchFamily="34" charset="0"/>
            </a:rPr>
            <a:t>Buyer Credit Guarantee (BCG)</a:t>
          </a:r>
          <a:endParaRPr lang="de-DE" sz="12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9</xdr:row>
          <xdr:rowOff>66675</xdr:rowOff>
        </xdr:from>
        <xdr:to>
          <xdr:col>2</xdr:col>
          <xdr:colOff>342900</xdr:colOff>
          <xdr:row>9</xdr:row>
          <xdr:rowOff>314325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xdr:row>
          <xdr:rowOff>66675</xdr:rowOff>
        </xdr:from>
        <xdr:to>
          <xdr:col>2</xdr:col>
          <xdr:colOff>342900</xdr:colOff>
          <xdr:row>10</xdr:row>
          <xdr:rowOff>314325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66675</xdr:rowOff>
        </xdr:from>
        <xdr:to>
          <xdr:col>2</xdr:col>
          <xdr:colOff>342900</xdr:colOff>
          <xdr:row>11</xdr:row>
          <xdr:rowOff>314325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66675</xdr:rowOff>
        </xdr:from>
        <xdr:to>
          <xdr:col>2</xdr:col>
          <xdr:colOff>342900</xdr:colOff>
          <xdr:row>15</xdr:row>
          <xdr:rowOff>314325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xdr:row>
          <xdr:rowOff>66675</xdr:rowOff>
        </xdr:from>
        <xdr:to>
          <xdr:col>2</xdr:col>
          <xdr:colOff>342900</xdr:colOff>
          <xdr:row>16</xdr:row>
          <xdr:rowOff>314325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66675</xdr:rowOff>
        </xdr:from>
        <xdr:to>
          <xdr:col>2</xdr:col>
          <xdr:colOff>342900</xdr:colOff>
          <xdr:row>22</xdr:row>
          <xdr:rowOff>314325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xdr:row>
          <xdr:rowOff>66675</xdr:rowOff>
        </xdr:from>
        <xdr:to>
          <xdr:col>2</xdr:col>
          <xdr:colOff>342900</xdr:colOff>
          <xdr:row>23</xdr:row>
          <xdr:rowOff>314325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266700</xdr:rowOff>
        </xdr:from>
        <xdr:to>
          <xdr:col>2</xdr:col>
          <xdr:colOff>342900</xdr:colOff>
          <xdr:row>24</xdr:row>
          <xdr:rowOff>514350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xdr:row>
          <xdr:rowOff>66675</xdr:rowOff>
        </xdr:from>
        <xdr:to>
          <xdr:col>2</xdr:col>
          <xdr:colOff>342900</xdr:colOff>
          <xdr:row>25</xdr:row>
          <xdr:rowOff>314325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66675</xdr:rowOff>
        </xdr:from>
        <xdr:to>
          <xdr:col>2</xdr:col>
          <xdr:colOff>342900</xdr:colOff>
          <xdr:row>31</xdr:row>
          <xdr:rowOff>400050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95250</xdr:rowOff>
        </xdr:from>
        <xdr:to>
          <xdr:col>2</xdr:col>
          <xdr:colOff>342900</xdr:colOff>
          <xdr:row>32</xdr:row>
          <xdr:rowOff>342900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37</xdr:row>
          <xdr:rowOff>28575</xdr:rowOff>
        </xdr:from>
        <xdr:to>
          <xdr:col>2</xdr:col>
          <xdr:colOff>342900</xdr:colOff>
          <xdr:row>37</xdr:row>
          <xdr:rowOff>581025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142875</xdr:rowOff>
        </xdr:from>
        <xdr:to>
          <xdr:col>2</xdr:col>
          <xdr:colOff>342900</xdr:colOff>
          <xdr:row>42</xdr:row>
          <xdr:rowOff>752475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47</xdr:row>
          <xdr:rowOff>66675</xdr:rowOff>
        </xdr:from>
        <xdr:to>
          <xdr:col>2</xdr:col>
          <xdr:colOff>342900</xdr:colOff>
          <xdr:row>47</xdr:row>
          <xdr:rowOff>419100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50</xdr:row>
          <xdr:rowOff>66675</xdr:rowOff>
        </xdr:from>
        <xdr:to>
          <xdr:col>2</xdr:col>
          <xdr:colOff>342900</xdr:colOff>
          <xdr:row>51</xdr:row>
          <xdr:rowOff>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53</xdr:row>
          <xdr:rowOff>66675</xdr:rowOff>
        </xdr:from>
        <xdr:to>
          <xdr:col>2</xdr:col>
          <xdr:colOff>342900</xdr:colOff>
          <xdr:row>54</xdr:row>
          <xdr:rowOff>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66675</xdr:rowOff>
        </xdr:from>
        <xdr:to>
          <xdr:col>2</xdr:col>
          <xdr:colOff>342900</xdr:colOff>
          <xdr:row>57</xdr:row>
          <xdr:rowOff>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161925</xdr:rowOff>
        </xdr:from>
        <xdr:to>
          <xdr:col>2</xdr:col>
          <xdr:colOff>333375</xdr:colOff>
          <xdr:row>17</xdr:row>
          <xdr:rowOff>409575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0</xdr:rowOff>
        </xdr:from>
        <xdr:to>
          <xdr:col>2</xdr:col>
          <xdr:colOff>342900</xdr:colOff>
          <xdr:row>32</xdr:row>
          <xdr:rowOff>438150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0</xdr:rowOff>
        </xdr:from>
        <xdr:to>
          <xdr:col>2</xdr:col>
          <xdr:colOff>342900</xdr:colOff>
          <xdr:row>30</xdr:row>
          <xdr:rowOff>295275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17</xdr:row>
          <xdr:rowOff>523875</xdr:rowOff>
        </xdr:from>
        <xdr:to>
          <xdr:col>5</xdr:col>
          <xdr:colOff>1285875</xdr:colOff>
          <xdr:row>22</xdr:row>
          <xdr:rowOff>485775</xdr:rowOff>
        </xdr:to>
        <xdr:sp macro="" textlink="">
          <xdr:nvSpPr>
            <xdr:cNvPr id="6169" name="Object 25" hidden="1">
              <a:extLst>
                <a:ext uri="{63B3BB69-23CF-44E3-9099-C40C66FF867C}">
                  <a14:compatExt spid="_x0000_s6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V09\C\DCAM\1.%20Division\Mitarbeiter\Haas\Projekte\FKG-Tool\FKG_Tool_blanko_12%2010%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führung"/>
      <sheetName val="Auszahlungen"/>
      <sheetName val="Vorlaufzinsen"/>
      <sheetName val="Tilgungs- und Zinsplan"/>
      <sheetName val="Zahlungseingänge"/>
      <sheetName val="Zahl.eingänge Restrukturierung"/>
      <sheetName val="Einsummenentschädigung"/>
      <sheetName val="Tabelle1"/>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id="1" name="Tabelle1" displayName="Tabelle1" ref="B19:J44" totalsRowCount="1" headerRowDxfId="60" dataCellStyle="40 % - Akzent1">
  <autoFilter ref="B19:J43"/>
  <tableColumns count="9">
    <tableColumn id="1" name="Date (from)" dataDxfId="59" totalsRowDxfId="58" dataCellStyle="20 % - Akzent1"/>
    <tableColumn id="9" name="Date (until)" dataDxfId="57" totalsRowDxfId="56" dataCellStyle="20 % - Akzent1"/>
    <tableColumn id="2" name="Delivery/Service" dataDxfId="55" totalsRowDxfId="54" dataCellStyle="20 % - Akzent1"/>
    <tableColumn id="8" name="Way of disbursement" dataDxfId="53" totalsRowDxfId="52" dataCellStyle="20 % - Akzent1"/>
    <tableColumn id="3" name="Currency" totalsRowLabel="Sum" totalsRowDxfId="51" dataCellStyle="40 % - Akzent1">
      <calculatedColumnFormula>IFERROR((IF(ISBLANK(Tabelle1[[#This Row],[Date (from)]]),"",Währung)),Welche Währung?)</calculatedColumnFormula>
    </tableColumn>
    <tableColumn id="6" name="Disbursement amount" totalsRowFunction="custom" dataDxfId="50" totalsRowDxfId="49" dataCellStyle="40 % - Akzent1">
      <totalsRowFormula>G50+G51</totalsRowFormula>
    </tableColumn>
    <tableColumn id="7" name="Sum of Disbursements" dataDxfId="48" totalsRowDxfId="47" dataCellStyle="40 % - Akzent1">
      <calculatedColumnFormula>IF(G20&gt;0,H19+Tabelle1[[#This Row],[Disbursement amount]],"")</calculatedColumnFormula>
    </tableColumn>
    <tableColumn id="4" name="Interest rate" dataDxfId="46" totalsRowDxfId="45" dataCellStyle="20 % - Akzent1"/>
    <tableColumn id="5" name="interim interest" totalsRowFunction="sum" dataDxfId="44" totalsRowDxfId="43" dataCellStyle="40 % - Akzent1">
      <calculatedColumnFormula>IFERROR(IF(Method=1,O20,IF(Method=2,P20,IF(Method=3,Q20))),"")</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elle2" displayName="Tabelle2" ref="B30:P62" totalsRowCount="1" headerRowDxfId="37">
  <autoFilter ref="B30:P61"/>
  <tableColumns count="15">
    <tableColumn id="1" name="Status" dataDxfId="36" totalsRowDxfId="35" dataCellStyle="20 % - Akzent1"/>
    <tableColumn id="2" name="Due Date" dataDxfId="34" totalsRowDxfId="33" dataCellStyle="20 % - Akzent1">
      <calculatedColumnFormula>IF(ISBLANK(C23),"",C23)</calculatedColumnFormula>
    </tableColumn>
    <tableColumn id="3" name="Instalment No." dataDxfId="32" totalsRowDxfId="31" dataCellStyle="40 % - Akzent1"/>
    <tableColumn id="4" name="Currency" dataDxfId="30" totalsRowDxfId="29" dataCellStyle="40 % - Akzent1">
      <calculatedColumnFormula>IF(ISBLANK(Tabelle2[[#This Row],[Due Date]]),"",Währung)</calculatedColumnFormula>
    </tableColumn>
    <tableColumn id="15" name="Remaining Capital" dataDxfId="28" totalsRowDxfId="27" dataCellStyle="40 % - Akzent1"/>
    <tableColumn id="5" name="Instalment" totalsRowFunction="sum" dataDxfId="26" totalsRowDxfId="25" dataCellStyle="40 % - Akzent1">
      <calculatedColumnFormula>IFERROR(IF((Restkapital-Kapitalrate)&gt;100,Kapitalrate,Kapitalrate+(Restkapital-Kapitalrate)),"")</calculatedColumnFormula>
    </tableColumn>
    <tableColumn id="6" name="(partially) paid amount" totalsRowFunction="custom" dataDxfId="24" totalsRowDxfId="23" dataCellStyle="20 % - Akzent1">
      <totalsRowFormula>SUBTOTAL(109,H31:H61)</totalsRowFormula>
    </tableColumn>
    <tableColumn id="13" name="Euribor/ Libor" dataDxfId="22" totalsRowDxfId="21" dataCellStyle="20 % - Akzent1"/>
    <tableColumn id="12" name="interest rate" dataDxfId="20" totalsRowDxfId="19" dataCellStyle="40 % - Akzent1">
      <calculatedColumnFormula>IF(ISBLANK(Tabelle2[[#This Row],[Euribor/ Libor]]),"",IF(Zerofloor=1,IF(Satz&lt;0,0+Marge,Satz+Marge),Satz+Marge))</calculatedColumnFormula>
    </tableColumn>
    <tableColumn id="7" name="interest amount" totalsRowFunction="custom" dataDxfId="18" totalsRowDxfId="17" dataCellStyle="40 % - Akzent1">
      <calculatedColumnFormula>IF(Zinsmethode=1,Tabelle3[[#This Row],[Interest act/360]],IF(Zinsmethode=2,Tabelle3[[#This Row],[Interest act/365]],IF(Zinsmethode=3,Tabelle3[[#This Row],[Interest 30/360]],"")))</calculatedColumnFormula>
      <totalsRowFormula>SUBTOTAL(109,K31:K61)</totalsRowFormula>
    </tableColumn>
    <tableColumn id="8" name="(partially) paid interst amount" totalsRowFunction="custom" dataDxfId="16" totalsRowDxfId="15" dataCellStyle="20 % - Akzent1">
      <totalsRowFormula>SUBTOTAL(109,L31:L61)</totalsRowFormula>
    </tableColumn>
    <tableColumn id="14" name="Date of payment" dataDxfId="14" totalsRowDxfId="13" dataCellStyle="20 % - Akzent1"/>
    <tableColumn id="9" name="Residue after deduction" totalsRowFunction="custom" dataDxfId="12" totalsRowDxfId="11" dataCellStyle="40 % - Akzent1">
      <calculatedColumnFormula>IF(Tabelle2[[#This Row],[Status]]="Entschädigung beantragt",Tabelle2[[#This Row],[Instalment]]-Tabelle2[[#This Row],[(partially) paid amount]]+Tabelle2[[#This Row],[interest amount]]-Tabelle2[[#This Row],[(partially) paid interst amount]],"")</calculatedColumnFormula>
      <totalsRowFormula>SUBTOTAL(109,N31:N61)</totalsRowFormula>
    </tableColumn>
    <tableColumn id="10" name="Retention amount" dataDxfId="10" totalsRowDxfId="9" dataCellStyle="40 % - Akzent1">
      <calculatedColumnFormula>IFERROR(ROUND(SB_Betrag*Tabelle2[[#This Row],[Residue after deduction]],2),"")</calculatedColumnFormula>
    </tableColumn>
    <tableColumn id="11" name="Indemnification amount" totalsRowFunction="sum" dataDxfId="8" totalsRowDxfId="7" dataCellStyle="40 % - Akzent1">
      <calculatedColumnFormula>IFERROR(Tabelle2[[#This Row],[Residue after deduction]]-Tabelle2[[#This Row],[Retention amount]],"")</calculatedColumnFormula>
    </tableColumn>
  </tableColumns>
  <tableStyleInfo name="TableStyleLight9" showFirstColumn="0" showLastColumn="0" showRowStripes="1" showColumnStripes="0"/>
</table>
</file>

<file path=xl/tables/table3.xml><?xml version="1.0" encoding="utf-8"?>
<table xmlns="http://schemas.openxmlformats.org/spreadsheetml/2006/main" id="3" name="Tabelle3" displayName="Tabelle3" ref="R30:W61" totalsRowShown="0" headerRowDxfId="6" dataCellStyle="40 % - Akzent1">
  <autoFilter ref="R30:W61"/>
  <tableColumns count="6">
    <tableColumn id="1" name="Days act/360" dataDxfId="5" dataCellStyle="40 % - Akzent1"/>
    <tableColumn id="2" name="Days act/365" dataDxfId="4" dataCellStyle="40 % - Akzent1"/>
    <tableColumn id="3" name="Days 30/360" dataDxfId="3" dataCellStyle="40 % - Akzent1"/>
    <tableColumn id="4" name="Interest act/360" dataDxfId="2" dataCellStyle="40 % - Akzent1"/>
    <tableColumn id="5" name="Interest act/365" dataDxfId="1" dataCellStyle="40 % - Akzent1"/>
    <tableColumn id="6" name="Interest 30/360" dataDxfId="0" dataCellStyle="40 % - Akzent1"/>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RS@exportkreditgarantien.d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vmlDrawing" Target="../drawings/vmlDrawing2.vml"/><Relationship Id="rId7"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drawing" Target="../drawings/drawing5.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printerSettings" Target="../printerSettings/printerSettings5.bin"/><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hyperlink" Target="https://www.agaportal.de/_Resources/Persistent/bede6da1ad0754949b6db18d28a6503e297571bf/e_pi_finanzkreditdeckung_auszahlungsvoraussetzung.pdf" TargetMode="External"/><Relationship Id="rId6" Type="http://schemas.openxmlformats.org/officeDocument/2006/relationships/image" Target="../media/image5.emf"/><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oleObject" Target="../embeddings/oleObject1.bin"/><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vmlDrawing" Target="../drawings/vmlDrawing3.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tabSelected="1" zoomScaleNormal="100" workbookViewId="0">
      <selection activeCell="D50" sqref="D50"/>
    </sheetView>
  </sheetViews>
  <sheetFormatPr baseColWidth="10" defaultRowHeight="14.25"/>
  <cols>
    <col min="1" max="1" width="11.19921875" style="2"/>
    <col min="2" max="2" width="28.3984375" style="2" bestFit="1" customWidth="1"/>
    <col min="3" max="3" width="18.09765625" style="2" customWidth="1"/>
    <col min="4" max="4" width="13.5" style="2" customWidth="1"/>
    <col min="5" max="5" width="11.19921875" style="2"/>
    <col min="6" max="6" width="15.59765625" style="2" customWidth="1"/>
    <col min="7" max="7" width="11.19921875" style="2"/>
    <col min="8" max="8" width="18.19921875" style="2" bestFit="1" customWidth="1"/>
    <col min="9" max="16384" width="11.19921875" style="2"/>
  </cols>
  <sheetData>
    <row r="1" spans="1:9" s="3" customFormat="1" ht="12.75">
      <c r="G1" s="4"/>
      <c r="H1" s="4"/>
      <c r="I1" s="5"/>
    </row>
    <row r="2" spans="1:9" s="3" customFormat="1" ht="12.75"/>
    <row r="3" spans="1:9" s="3" customFormat="1" ht="12.75"/>
    <row r="4" spans="1:9" s="3" customFormat="1" ht="12.75"/>
    <row r="5" spans="1:9" s="3" customFormat="1" ht="12.75"/>
    <row r="6" spans="1:9" s="3" customFormat="1" ht="12.75">
      <c r="G6" s="6"/>
      <c r="H6" s="6"/>
    </row>
    <row r="7" spans="1:9" s="3" customFormat="1" ht="12.75">
      <c r="A7" s="6"/>
      <c r="B7" s="7"/>
      <c r="C7" s="6"/>
      <c r="D7" s="6"/>
      <c r="E7" s="6"/>
      <c r="F7" s="6"/>
      <c r="G7" s="6"/>
      <c r="H7" s="6"/>
    </row>
    <row r="8" spans="1:9" s="3" customFormat="1" ht="12.75">
      <c r="A8" s="6"/>
      <c r="B8" s="6"/>
      <c r="C8" s="6"/>
      <c r="D8" s="6"/>
      <c r="E8" s="6"/>
      <c r="F8" s="6"/>
      <c r="G8" s="6"/>
      <c r="H8" s="6"/>
    </row>
    <row r="9" spans="1:9" s="3" customFormat="1" ht="12.75">
      <c r="A9" s="6"/>
      <c r="B9" s="6"/>
      <c r="C9" s="6"/>
      <c r="D9" s="6"/>
      <c r="E9" s="6"/>
      <c r="F9" s="6"/>
      <c r="G9" s="6"/>
      <c r="H9" s="6"/>
    </row>
    <row r="10" spans="1:9" s="3" customFormat="1" ht="12.75">
      <c r="A10" s="6"/>
      <c r="B10" s="6"/>
      <c r="C10" s="6"/>
      <c r="D10" s="6"/>
      <c r="E10" s="6"/>
      <c r="F10" s="6"/>
      <c r="G10" s="6"/>
      <c r="H10" s="6"/>
    </row>
    <row r="11" spans="1:9" s="3" customFormat="1" ht="12.75">
      <c r="B11" s="123" t="s">
        <v>163</v>
      </c>
    </row>
    <row r="12" spans="1:9" s="3" customFormat="1" ht="12.75">
      <c r="B12" s="123"/>
    </row>
    <row r="13" spans="1:9">
      <c r="B13" s="2" t="s">
        <v>140</v>
      </c>
    </row>
    <row r="14" spans="1:9">
      <c r="B14" s="2" t="s">
        <v>141</v>
      </c>
    </row>
    <row r="15" spans="1:9" ht="15" thickBot="1">
      <c r="B15" s="8" t="s">
        <v>57</v>
      </c>
    </row>
    <row r="16" spans="1:9" ht="15" thickBot="1">
      <c r="B16" s="2" t="s">
        <v>184</v>
      </c>
      <c r="C16" s="60"/>
      <c r="D16" s="32" t="s">
        <v>54</v>
      </c>
      <c r="E16" s="63"/>
      <c r="F16" s="32"/>
      <c r="G16" s="158"/>
    </row>
    <row r="17" spans="2:11" ht="15" thickBot="1">
      <c r="B17" s="2" t="s">
        <v>2</v>
      </c>
      <c r="C17" s="64"/>
      <c r="D17" s="32"/>
      <c r="E17" s="32"/>
      <c r="F17" s="32"/>
      <c r="G17" s="32"/>
    </row>
    <row r="18" spans="2:11" ht="15" thickBot="1">
      <c r="B18" s="2" t="s">
        <v>3</v>
      </c>
      <c r="C18" s="64"/>
      <c r="D18" s="32"/>
      <c r="E18" s="32"/>
      <c r="F18" s="32"/>
      <c r="G18" s="32"/>
    </row>
    <row r="19" spans="2:11" ht="15" thickBot="1">
      <c r="B19" s="2" t="s">
        <v>55</v>
      </c>
      <c r="C19" s="61"/>
      <c r="D19" s="32"/>
      <c r="E19" s="32"/>
      <c r="F19" s="32"/>
      <c r="G19" s="32"/>
    </row>
    <row r="20" spans="2:11" ht="15" thickBot="1">
      <c r="B20" s="2" t="s">
        <v>50</v>
      </c>
      <c r="C20" s="64"/>
      <c r="D20" s="32"/>
      <c r="E20" s="32"/>
      <c r="F20" s="32"/>
      <c r="G20" s="32"/>
    </row>
    <row r="21" spans="2:11" ht="16.5" thickBot="1">
      <c r="B21" s="2" t="s">
        <v>51</v>
      </c>
      <c r="C21" s="62"/>
      <c r="D21" s="32"/>
      <c r="E21" s="30" t="s">
        <v>53</v>
      </c>
      <c r="F21" s="30"/>
      <c r="G21" s="30"/>
      <c r="H21" s="30"/>
      <c r="I21" s="30"/>
      <c r="J21" s="30"/>
      <c r="K21" s="30"/>
    </row>
    <row r="22" spans="2:11" ht="15" thickBot="1">
      <c r="B22" s="2" t="s">
        <v>52</v>
      </c>
      <c r="C22" s="62"/>
      <c r="D22" s="32"/>
      <c r="E22" s="32"/>
      <c r="F22" s="32"/>
      <c r="G22" s="32"/>
    </row>
    <row r="23" spans="2:11">
      <c r="B23" s="110" t="s">
        <v>126</v>
      </c>
      <c r="C23" s="136"/>
      <c r="D23" s="32"/>
      <c r="E23" s="32"/>
      <c r="F23" s="32"/>
      <c r="G23" s="32"/>
    </row>
    <row r="25" spans="2:11">
      <c r="B25" s="2" t="s">
        <v>56</v>
      </c>
    </row>
    <row r="28" spans="2:11">
      <c r="B28" s="1"/>
    </row>
    <row r="29" spans="2:11" ht="15.75">
      <c r="B29" s="30" t="s">
        <v>58</v>
      </c>
      <c r="C29" s="30"/>
      <c r="D29" s="30"/>
      <c r="E29" s="30"/>
      <c r="F29" s="30"/>
      <c r="G29" s="30"/>
      <c r="H29" s="30"/>
      <c r="I29" s="30"/>
    </row>
    <row r="30" spans="2:11" ht="14.25" customHeight="1">
      <c r="B30" s="172" t="s">
        <v>135</v>
      </c>
      <c r="C30" s="172"/>
      <c r="D30" s="172"/>
      <c r="E30" s="172"/>
      <c r="F30" s="172"/>
      <c r="G30" s="172"/>
      <c r="H30" s="172"/>
      <c r="I30" s="172"/>
    </row>
    <row r="31" spans="2:11" ht="16.5" customHeight="1">
      <c r="B31" s="172"/>
      <c r="C31" s="172"/>
      <c r="D31" s="172"/>
      <c r="E31" s="172"/>
      <c r="F31" s="172"/>
      <c r="G31" s="172"/>
      <c r="H31" s="172"/>
      <c r="I31" s="172"/>
    </row>
    <row r="32" spans="2:11" ht="16.5" customHeight="1">
      <c r="B32" s="172"/>
      <c r="C32" s="172"/>
      <c r="D32" s="172"/>
      <c r="E32" s="172"/>
      <c r="F32" s="172"/>
      <c r="G32" s="172"/>
      <c r="H32" s="172"/>
      <c r="I32" s="172"/>
    </row>
    <row r="33" spans="2:9" ht="16.5" customHeight="1">
      <c r="B33" s="172"/>
      <c r="C33" s="172"/>
      <c r="D33" s="172"/>
      <c r="E33" s="172"/>
      <c r="F33" s="172"/>
      <c r="G33" s="172"/>
      <c r="H33" s="172"/>
      <c r="I33" s="172"/>
    </row>
    <row r="34" spans="2:9" ht="16.5" customHeight="1">
      <c r="B34" s="172"/>
      <c r="C34" s="172"/>
      <c r="D34" s="172"/>
      <c r="E34" s="172"/>
      <c r="F34" s="172"/>
      <c r="G34" s="172"/>
      <c r="H34" s="172"/>
      <c r="I34" s="172"/>
    </row>
    <row r="35" spans="2:9" ht="16.5" customHeight="1">
      <c r="B35" s="172"/>
      <c r="C35" s="172"/>
      <c r="D35" s="172"/>
      <c r="E35" s="172"/>
      <c r="F35" s="172"/>
      <c r="G35" s="172"/>
      <c r="H35" s="172"/>
      <c r="I35" s="172"/>
    </row>
    <row r="36" spans="2:9" ht="16.5" customHeight="1">
      <c r="B36" s="172"/>
      <c r="C36" s="172"/>
      <c r="D36" s="172"/>
      <c r="E36" s="172"/>
      <c r="F36" s="172"/>
      <c r="G36" s="172"/>
      <c r="H36" s="172"/>
      <c r="I36" s="172"/>
    </row>
    <row r="37" spans="2:9" ht="15.75">
      <c r="B37" s="101" t="s">
        <v>59</v>
      </c>
      <c r="C37" s="102"/>
      <c r="D37" s="102"/>
      <c r="E37" s="102"/>
      <c r="F37" s="102"/>
      <c r="G37" s="102"/>
      <c r="H37" s="102"/>
      <c r="I37" s="102"/>
    </row>
    <row r="38" spans="2:9" ht="14.25" customHeight="1">
      <c r="B38" s="30" t="s">
        <v>136</v>
      </c>
      <c r="C38" s="30"/>
      <c r="D38" s="30"/>
      <c r="E38" s="30"/>
      <c r="F38" s="30"/>
      <c r="G38" s="122" t="s">
        <v>63</v>
      </c>
      <c r="H38" s="30"/>
      <c r="I38" s="30"/>
    </row>
    <row r="39" spans="2:9" ht="27" customHeight="1">
      <c r="B39" s="113"/>
      <c r="C39" s="100"/>
      <c r="D39" s="100"/>
      <c r="E39" s="100"/>
      <c r="F39" s="100"/>
      <c r="G39" s="100"/>
      <c r="H39" s="100"/>
      <c r="I39" s="100"/>
    </row>
    <row r="41" spans="2:9" ht="16.5" thickBot="1">
      <c r="H41" s="31" t="s">
        <v>60</v>
      </c>
    </row>
    <row r="42" spans="2:9" ht="15" thickBot="1">
      <c r="H42" s="114" t="s">
        <v>61</v>
      </c>
    </row>
    <row r="43" spans="2:9" ht="15" thickBot="1">
      <c r="H43" s="88" t="s">
        <v>62</v>
      </c>
    </row>
    <row r="50" spans="2:2">
      <c r="B50" s="110"/>
    </row>
    <row r="51" spans="2:2">
      <c r="B51" s="110"/>
    </row>
  </sheetData>
  <sheetProtection algorithmName="SHA-512" hashValue="V0lOwL0dyxGYy/sWuPzi/do1gLr5fQ/FSKNULnvl9Lq4FJ8fFg8PXM+vy2EyJcovDDs0oQuNi8PNqoHMi1HaBw==" saltValue="ahl0Jqy9uLaUlOE1AeSl4w==" spinCount="100000" sheet="1" objects="1" scenarios="1"/>
  <mergeCells count="1">
    <mergeCell ref="B30:I36"/>
  </mergeCells>
  <hyperlinks>
    <hyperlink ref="G38" r:id="rId1"/>
  </hyperlinks>
  <pageMargins left="0.25" right="0.25" top="0.75" bottom="0.75" header="0.3" footer="0.3"/>
  <pageSetup paperSize="9" scale="62"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Hilfsblatt!$A$11:$A$18</xm:f>
          </x14:formula1>
          <xm:sqref>C20</xm:sqref>
        </x14:dataValidation>
        <x14:dataValidation type="list" allowBlank="1" showInputMessage="1" showErrorMessage="1">
          <x14:formula1>
            <xm:f>Hilfsblatt!$A$5:$A$7</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8"/>
  <sheetViews>
    <sheetView showGridLines="0" zoomScale="85" zoomScaleNormal="85" workbookViewId="0">
      <pane ySplit="13" topLeftCell="A14" activePane="bottomLeft" state="frozen"/>
      <selection pane="bottomLeft" activeCell="E12" sqref="E12"/>
    </sheetView>
  </sheetViews>
  <sheetFormatPr baseColWidth="10" defaultRowHeight="14.25" outlineLevelCol="1"/>
  <cols>
    <col min="2" max="3" width="17.09765625" customWidth="1"/>
    <col min="4" max="4" width="21.19921875" bestFit="1" customWidth="1"/>
    <col min="5" max="5" width="21.19921875" customWidth="1"/>
    <col min="6" max="6" width="14.69921875" customWidth="1"/>
    <col min="7" max="8" width="22.69921875" customWidth="1"/>
    <col min="9" max="9" width="14.69921875" customWidth="1"/>
    <col min="10" max="10" width="22.69921875" customWidth="1"/>
    <col min="12" max="14" width="0" hidden="1" customWidth="1" outlineLevel="1"/>
    <col min="15" max="16" width="13.19921875" hidden="1" customWidth="1" outlineLevel="1"/>
    <col min="17" max="17" width="12.8984375" hidden="1" customWidth="1" outlineLevel="1"/>
    <col min="18" max="18" width="11.19921875" collapsed="1"/>
  </cols>
  <sheetData>
    <row r="1" spans="1:13" s="9" customFormat="1" ht="12.75">
      <c r="J1" s="10"/>
      <c r="K1" s="10"/>
      <c r="M1" s="11"/>
    </row>
    <row r="2" spans="1:13" s="9" customFormat="1" ht="12.75"/>
    <row r="3" spans="1:13" s="9" customFormat="1" ht="12.75"/>
    <row r="4" spans="1:13" s="9" customFormat="1" ht="12.75"/>
    <row r="5" spans="1:13" s="9" customFormat="1" ht="12.75"/>
    <row r="6" spans="1:13" s="9" customFormat="1" ht="12.75">
      <c r="J6" s="12"/>
      <c r="K6" s="12"/>
    </row>
    <row r="7" spans="1:13" s="9" customFormat="1" ht="12.75">
      <c r="A7" s="12"/>
      <c r="B7" s="13"/>
      <c r="C7" s="13"/>
      <c r="D7" s="12"/>
      <c r="E7" s="12"/>
      <c r="F7" s="12"/>
      <c r="G7" s="12"/>
      <c r="H7" s="12"/>
      <c r="I7" s="12"/>
      <c r="J7" s="12"/>
      <c r="K7" s="12"/>
    </row>
    <row r="8" spans="1:13" s="9" customFormat="1" ht="12.75">
      <c r="A8" s="12"/>
      <c r="B8" s="12"/>
      <c r="C8" s="12"/>
      <c r="D8" s="12"/>
      <c r="E8" s="12"/>
      <c r="F8" s="12"/>
      <c r="G8" s="12"/>
      <c r="H8" s="12"/>
      <c r="I8" s="12"/>
      <c r="J8" s="12"/>
      <c r="K8" s="12"/>
    </row>
    <row r="9" spans="1:13" s="9" customFormat="1" ht="12.75">
      <c r="A9" s="14"/>
    </row>
    <row r="10" spans="1:13" s="9" customFormat="1" ht="12.75">
      <c r="A10" s="14"/>
    </row>
    <row r="11" spans="1:13" s="9" customFormat="1">
      <c r="A11" s="14"/>
      <c r="B11" s="161" t="s">
        <v>184</v>
      </c>
      <c r="C11" s="51" t="str">
        <f>IF(ISBLANK(VorgangsID),"",VorgangsID)</f>
        <v/>
      </c>
      <c r="D11" s="115" t="s">
        <v>64</v>
      </c>
      <c r="E11" s="51" t="str">
        <f>IF(ISBLANK(Country_AK_no),"",Country_AK_no)</f>
        <v/>
      </c>
      <c r="H11" s="162">
        <f>Land_AK_Nr</f>
        <v>0</v>
      </c>
    </row>
    <row r="12" spans="1:13" s="9" customFormat="1" ht="12.75">
      <c r="A12" s="14"/>
    </row>
    <row r="13" spans="1:13" s="9" customFormat="1" ht="15">
      <c r="A13" s="14"/>
      <c r="B13" s="15" t="s">
        <v>67</v>
      </c>
      <c r="C13" s="15"/>
    </row>
    <row r="15" spans="1:13" ht="16.5" thickBot="1">
      <c r="B15" s="125" t="s">
        <v>143</v>
      </c>
      <c r="C15" s="125"/>
      <c r="D15" s="30"/>
      <c r="E15" s="30"/>
      <c r="F15" s="30"/>
      <c r="G15" s="30"/>
      <c r="H15" s="30"/>
      <c r="J15" s="31" t="s">
        <v>66</v>
      </c>
    </row>
    <row r="16" spans="1:13" ht="16.5" thickBot="1">
      <c r="B16" s="52"/>
      <c r="C16" s="52"/>
      <c r="D16" s="52"/>
      <c r="E16" s="52"/>
      <c r="F16" s="52"/>
      <c r="G16" s="52"/>
      <c r="H16" s="52"/>
      <c r="J16" s="114" t="s">
        <v>61</v>
      </c>
    </row>
    <row r="17" spans="2:17" ht="16.5" thickBot="1">
      <c r="B17" s="159" t="s">
        <v>183</v>
      </c>
      <c r="C17" s="52"/>
      <c r="D17" s="52"/>
      <c r="E17" s="160">
        <v>3</v>
      </c>
      <c r="F17" s="52"/>
      <c r="G17" s="52"/>
      <c r="H17" s="52"/>
      <c r="J17" s="88" t="s">
        <v>65</v>
      </c>
    </row>
    <row r="18" spans="2:17">
      <c r="L18">
        <v>1</v>
      </c>
      <c r="M18">
        <v>2</v>
      </c>
      <c r="N18">
        <v>3</v>
      </c>
      <c r="O18">
        <v>1</v>
      </c>
      <c r="P18">
        <v>2</v>
      </c>
      <c r="Q18">
        <v>3</v>
      </c>
    </row>
    <row r="19" spans="2:17" ht="33" customHeight="1">
      <c r="B19" s="80" t="s">
        <v>166</v>
      </c>
      <c r="C19" s="80" t="s">
        <v>167</v>
      </c>
      <c r="D19" s="80" t="s">
        <v>68</v>
      </c>
      <c r="E19" s="80" t="s">
        <v>69</v>
      </c>
      <c r="F19" s="80" t="s">
        <v>50</v>
      </c>
      <c r="G19" s="80" t="s">
        <v>70</v>
      </c>
      <c r="H19" s="80" t="s">
        <v>71</v>
      </c>
      <c r="I19" s="79" t="s">
        <v>72</v>
      </c>
      <c r="J19" s="79" t="s">
        <v>142</v>
      </c>
      <c r="L19" t="s">
        <v>177</v>
      </c>
      <c r="M19" t="s">
        <v>176</v>
      </c>
      <c r="N19" t="s">
        <v>179</v>
      </c>
      <c r="O19" t="s">
        <v>180</v>
      </c>
      <c r="P19" t="s">
        <v>181</v>
      </c>
      <c r="Q19" t="s">
        <v>182</v>
      </c>
    </row>
    <row r="20" spans="2:17" ht="24" customHeight="1">
      <c r="B20" s="65"/>
      <c r="C20" s="65"/>
      <c r="D20" s="66"/>
      <c r="E20" s="66"/>
      <c r="F20" s="48" t="str">
        <f>IFERROR((IF(ISBLANK(Tabelle1[[#This Row],[Date (from)]]),"",Währung)),Welche Währung?)</f>
        <v/>
      </c>
      <c r="G20" s="67"/>
      <c r="H20" s="49" t="str">
        <f>IF(G20&gt;0,Tabelle1[[#This Row],[Disbursement amount]],"")</f>
        <v/>
      </c>
      <c r="I20" s="68"/>
      <c r="J20" s="36">
        <f t="shared" ref="J20:J43" si="0">IFERROR(IF(Method=1,O20,IF(Method=2,P20,IF(Method=3,Q20))),"")</f>
        <v>0</v>
      </c>
      <c r="L20">
        <f>Tabelle1[[#This Row],[Date (until)]]-Tabelle1[[#This Row],[Date (from)]]</f>
        <v>0</v>
      </c>
      <c r="M20">
        <f>Tabelle1[[#This Row],[Date (until)]]-Tabelle1[[#This Row],[Date (from)]]</f>
        <v>0</v>
      </c>
      <c r="N20">
        <f>DAYS360(Tabelle1[[#This Row],[Date (from)]],Tabelle1[[#This Row],[Date (until)]],TRUE)</f>
        <v>0</v>
      </c>
      <c r="O20">
        <f>ROUND(Tabelle1[[#This Row],[Disbursement amount]]*Tabelle1[[#This Row],[Interest rate]]*L20/360,2)</f>
        <v>0</v>
      </c>
      <c r="P20">
        <f>ROUND(Tabelle1[[#This Row],[Disbursement amount]]*Tabelle1[[#This Row],[Interest rate]]*M20/365,2)</f>
        <v>0</v>
      </c>
      <c r="Q20">
        <f>ROUND(Tabelle1[[#This Row],[Disbursement amount]]*Tabelle1[[#This Row],[Interest rate]]*N20/360,2)</f>
        <v>0</v>
      </c>
    </row>
    <row r="21" spans="2:17" ht="24" customHeight="1">
      <c r="B21" s="65"/>
      <c r="C21" s="65"/>
      <c r="D21" s="66"/>
      <c r="E21" s="66"/>
      <c r="F21" s="48" t="str">
        <f>IFERROR((IF(ISBLANK(Tabelle1[[#This Row],[Date (from)]]),"",Währung)),Welche Währung?)</f>
        <v/>
      </c>
      <c r="G21" s="67"/>
      <c r="H21" s="49" t="str">
        <f>IFERROR(IF(G21&gt;0,H20+Tabelle1[[#This Row],[Disbursement amount]],""),"")</f>
        <v/>
      </c>
      <c r="I21" s="68"/>
      <c r="J21" s="36">
        <f t="shared" si="0"/>
        <v>0</v>
      </c>
      <c r="L21">
        <f>Tabelle1[[#This Row],[Date (until)]]-Tabelle1[[#This Row],[Date (from)]]</f>
        <v>0</v>
      </c>
      <c r="M21">
        <f>Tabelle1[[#This Row],[Date (until)]]-Tabelle1[[#This Row],[Date (from)]]</f>
        <v>0</v>
      </c>
      <c r="N21">
        <f>DAYS360(Tabelle1[[#This Row],[Date (from)]],Tabelle1[[#This Row],[Date (until)]],TRUE)</f>
        <v>0</v>
      </c>
      <c r="O21">
        <f>ROUND(Tabelle1[[#This Row],[Disbursement amount]]*Tabelle1[[#This Row],[Interest rate]]*L21/360,2)</f>
        <v>0</v>
      </c>
      <c r="P21">
        <f>ROUND(Tabelle1[[#This Row],[Disbursement amount]]*Tabelle1[[#This Row],[Interest rate]]*M21/365,2)</f>
        <v>0</v>
      </c>
      <c r="Q21">
        <f>ROUND(Tabelle1[[#This Row],[Disbursement amount]]*Tabelle1[[#This Row],[Interest rate]]*N21/360,2)</f>
        <v>0</v>
      </c>
    </row>
    <row r="22" spans="2:17" ht="24" customHeight="1">
      <c r="B22" s="65"/>
      <c r="C22" s="65"/>
      <c r="D22" s="66"/>
      <c r="E22" s="66"/>
      <c r="F22" s="48" t="str">
        <f>IFERROR((IF(ISBLANK(Tabelle1[[#This Row],[Date (from)]]),"",Währung)),Welche Währung?)</f>
        <v/>
      </c>
      <c r="G22" s="67"/>
      <c r="H22" s="49" t="str">
        <f>IFERROR(IF(G22&gt;0,H21+Tabelle1[[#This Row],[Disbursement amount]],""),"")</f>
        <v/>
      </c>
      <c r="I22" s="68"/>
      <c r="J22" s="36">
        <f t="shared" si="0"/>
        <v>0</v>
      </c>
      <c r="L22">
        <f>Tabelle1[[#This Row],[Date (until)]]-Tabelle1[[#This Row],[Date (from)]]</f>
        <v>0</v>
      </c>
      <c r="M22">
        <f>Tabelle1[[#This Row],[Date (until)]]-Tabelle1[[#This Row],[Date (from)]]</f>
        <v>0</v>
      </c>
      <c r="N22">
        <f>DAYS360(Tabelle1[[#This Row],[Date (from)]],Tabelle1[[#This Row],[Date (until)]],TRUE)</f>
        <v>0</v>
      </c>
      <c r="O22">
        <f>ROUND(Tabelle1[[#This Row],[Disbursement amount]]*Tabelle1[[#This Row],[Interest rate]]*L22/360,2)</f>
        <v>0</v>
      </c>
      <c r="P22">
        <f>ROUND(Tabelle1[[#This Row],[Disbursement amount]]*Tabelle1[[#This Row],[Interest rate]]*M22/365,2)</f>
        <v>0</v>
      </c>
      <c r="Q22">
        <f>ROUND(Tabelle1[[#This Row],[Disbursement amount]]*Tabelle1[[#This Row],[Interest rate]]*N22/360,2)</f>
        <v>0</v>
      </c>
    </row>
    <row r="23" spans="2:17" ht="24" customHeight="1">
      <c r="B23" s="65"/>
      <c r="C23" s="65"/>
      <c r="D23" s="66"/>
      <c r="E23" s="66"/>
      <c r="F23" s="48" t="str">
        <f>IFERROR((IF(ISBLANK(Tabelle1[[#This Row],[Date (from)]]),"",Währung)),Welche Währung?)</f>
        <v/>
      </c>
      <c r="G23" s="67"/>
      <c r="H23" s="49" t="str">
        <f>IFERROR(IF(G23&gt;0,H22+Tabelle1[[#This Row],[Disbursement amount]],""),"")</f>
        <v/>
      </c>
      <c r="I23" s="68"/>
      <c r="J23" s="36">
        <f t="shared" si="0"/>
        <v>0</v>
      </c>
      <c r="L23">
        <f>Tabelle1[[#This Row],[Date (until)]]-Tabelle1[[#This Row],[Date (from)]]</f>
        <v>0</v>
      </c>
      <c r="M23">
        <f>Tabelle1[[#This Row],[Date (until)]]-Tabelle1[[#This Row],[Date (from)]]</f>
        <v>0</v>
      </c>
      <c r="N23">
        <f>DAYS360(Tabelle1[[#This Row],[Date (from)]],Tabelle1[[#This Row],[Date (until)]],TRUE)</f>
        <v>0</v>
      </c>
      <c r="O23">
        <f>ROUND(Tabelle1[[#This Row],[Disbursement amount]]*Tabelle1[[#This Row],[Interest rate]]*L23/360,2)</f>
        <v>0</v>
      </c>
      <c r="P23">
        <f>ROUND(Tabelle1[[#This Row],[Disbursement amount]]*Tabelle1[[#This Row],[Interest rate]]*M23/365,2)</f>
        <v>0</v>
      </c>
      <c r="Q23">
        <f>ROUND(Tabelle1[[#This Row],[Disbursement amount]]*Tabelle1[[#This Row],[Interest rate]]*N23/360,2)</f>
        <v>0</v>
      </c>
    </row>
    <row r="24" spans="2:17" ht="24" customHeight="1">
      <c r="B24" s="65"/>
      <c r="C24" s="65"/>
      <c r="D24" s="66"/>
      <c r="E24" s="66"/>
      <c r="F24" s="48" t="str">
        <f>IFERROR((IF(ISBLANK(Tabelle1[[#This Row],[Date (from)]]),"",Währung)),Welche Währung?)</f>
        <v/>
      </c>
      <c r="G24" s="67"/>
      <c r="H24" s="49" t="str">
        <f>IFERROR(IF(G24&gt;0,H23+Tabelle1[[#This Row],[Disbursement amount]],""),"")</f>
        <v/>
      </c>
      <c r="I24" s="68"/>
      <c r="J24" s="36">
        <f t="shared" si="0"/>
        <v>0</v>
      </c>
      <c r="L24">
        <f>Tabelle1[[#This Row],[Date (until)]]-Tabelle1[[#This Row],[Date (from)]]</f>
        <v>0</v>
      </c>
      <c r="M24">
        <f>Tabelle1[[#This Row],[Date (until)]]-Tabelle1[[#This Row],[Date (from)]]</f>
        <v>0</v>
      </c>
      <c r="N24">
        <f>DAYS360(Tabelle1[[#This Row],[Date (from)]],Tabelle1[[#This Row],[Date (until)]],TRUE)</f>
        <v>0</v>
      </c>
      <c r="O24">
        <f>ROUND(Tabelle1[[#This Row],[Disbursement amount]]*Tabelle1[[#This Row],[Interest rate]]*L24/360,2)</f>
        <v>0</v>
      </c>
      <c r="P24">
        <f>ROUND(Tabelle1[[#This Row],[Disbursement amount]]*Tabelle1[[#This Row],[Interest rate]]*M24/365,2)</f>
        <v>0</v>
      </c>
      <c r="Q24">
        <f>ROUND(Tabelle1[[#This Row],[Disbursement amount]]*Tabelle1[[#This Row],[Interest rate]]*N24/360,2)</f>
        <v>0</v>
      </c>
    </row>
    <row r="25" spans="2:17" ht="24" customHeight="1">
      <c r="B25" s="65"/>
      <c r="C25" s="65"/>
      <c r="D25" s="66"/>
      <c r="E25" s="66"/>
      <c r="F25" s="48" t="str">
        <f>IFERROR((IF(ISBLANK(Tabelle1[[#This Row],[Date (from)]]),"",Währung)),Welche Währung?)</f>
        <v/>
      </c>
      <c r="G25" s="67"/>
      <c r="H25" s="49" t="str">
        <f>IFERROR(IF(G25&gt;0,H24+Tabelle1[[#This Row],[Disbursement amount]],""),"")</f>
        <v/>
      </c>
      <c r="I25" s="68"/>
      <c r="J25" s="36">
        <f t="shared" si="0"/>
        <v>0</v>
      </c>
      <c r="L25">
        <f>Tabelle1[[#This Row],[Date (until)]]-Tabelle1[[#This Row],[Date (from)]]</f>
        <v>0</v>
      </c>
      <c r="M25">
        <f>Tabelle1[[#This Row],[Date (until)]]-Tabelle1[[#This Row],[Date (from)]]</f>
        <v>0</v>
      </c>
      <c r="N25">
        <f>DAYS360(Tabelle1[[#This Row],[Date (from)]],Tabelle1[[#This Row],[Date (until)]],TRUE)</f>
        <v>0</v>
      </c>
      <c r="O25">
        <f>ROUND(Tabelle1[[#This Row],[Disbursement amount]]*Tabelle1[[#This Row],[Interest rate]]*L25/360,2)</f>
        <v>0</v>
      </c>
      <c r="P25">
        <f>ROUND(Tabelle1[[#This Row],[Disbursement amount]]*Tabelle1[[#This Row],[Interest rate]]*M25/365,2)</f>
        <v>0</v>
      </c>
      <c r="Q25">
        <f>ROUND(Tabelle1[[#This Row],[Disbursement amount]]*Tabelle1[[#This Row],[Interest rate]]*N25/360,2)</f>
        <v>0</v>
      </c>
    </row>
    <row r="26" spans="2:17" ht="24" customHeight="1">
      <c r="B26" s="65"/>
      <c r="C26" s="65"/>
      <c r="D26" s="66"/>
      <c r="E26" s="66"/>
      <c r="F26" s="48" t="str">
        <f>IFERROR((IF(ISBLANK(Tabelle1[[#This Row],[Date (from)]]),"",Währung)),Welche Währung?)</f>
        <v/>
      </c>
      <c r="G26" s="67"/>
      <c r="H26" s="49" t="str">
        <f>IFERROR(IF(G26&gt;0,H25+Tabelle1[[#This Row],[Disbursement amount]],""),"")</f>
        <v/>
      </c>
      <c r="I26" s="68"/>
      <c r="J26" s="36">
        <f t="shared" si="0"/>
        <v>0</v>
      </c>
      <c r="L26">
        <f>Tabelle1[[#This Row],[Date (until)]]-Tabelle1[[#This Row],[Date (from)]]</f>
        <v>0</v>
      </c>
      <c r="M26">
        <f>Tabelle1[[#This Row],[Date (until)]]-Tabelle1[[#This Row],[Date (from)]]</f>
        <v>0</v>
      </c>
      <c r="N26">
        <f>DAYS360(Tabelle1[[#This Row],[Date (from)]],Tabelle1[[#This Row],[Date (until)]],TRUE)</f>
        <v>0</v>
      </c>
      <c r="O26">
        <f>ROUND(Tabelle1[[#This Row],[Disbursement amount]]*Tabelle1[[#This Row],[Interest rate]]*L26/360,2)</f>
        <v>0</v>
      </c>
      <c r="P26">
        <f>ROUND(Tabelle1[[#This Row],[Disbursement amount]]*Tabelle1[[#This Row],[Interest rate]]*M26/365,2)</f>
        <v>0</v>
      </c>
      <c r="Q26">
        <f>ROUND(Tabelle1[[#This Row],[Disbursement amount]]*Tabelle1[[#This Row],[Interest rate]]*N26/360,2)</f>
        <v>0</v>
      </c>
    </row>
    <row r="27" spans="2:17" ht="24" customHeight="1">
      <c r="B27" s="65"/>
      <c r="C27" s="65"/>
      <c r="D27" s="66"/>
      <c r="E27" s="66"/>
      <c r="F27" s="48" t="str">
        <f>IFERROR((IF(ISBLANK(Tabelle1[[#This Row],[Date (from)]]),"",Währung)),Welche Währung?)</f>
        <v/>
      </c>
      <c r="G27" s="67"/>
      <c r="H27" s="49" t="str">
        <f>IFERROR(IF(G27&gt;0,H26+Tabelle1[[#This Row],[Disbursement amount]],""),"")</f>
        <v/>
      </c>
      <c r="I27" s="68"/>
      <c r="J27" s="36">
        <f t="shared" si="0"/>
        <v>0</v>
      </c>
      <c r="L27">
        <f>Tabelle1[[#This Row],[Date (until)]]-Tabelle1[[#This Row],[Date (from)]]</f>
        <v>0</v>
      </c>
      <c r="M27">
        <f>Tabelle1[[#This Row],[Date (until)]]-Tabelle1[[#This Row],[Date (from)]]</f>
        <v>0</v>
      </c>
      <c r="N27">
        <f>DAYS360(Tabelle1[[#This Row],[Date (from)]],Tabelle1[[#This Row],[Date (until)]],TRUE)</f>
        <v>0</v>
      </c>
      <c r="O27">
        <f>ROUND(Tabelle1[[#This Row],[Disbursement amount]]*Tabelle1[[#This Row],[Interest rate]]*L27/360,2)</f>
        <v>0</v>
      </c>
      <c r="P27">
        <f>ROUND(Tabelle1[[#This Row],[Disbursement amount]]*Tabelle1[[#This Row],[Interest rate]]*M27/365,2)</f>
        <v>0</v>
      </c>
      <c r="Q27">
        <f>ROUND(Tabelle1[[#This Row],[Disbursement amount]]*Tabelle1[[#This Row],[Interest rate]]*N27/360,2)</f>
        <v>0</v>
      </c>
    </row>
    <row r="28" spans="2:17" ht="24" customHeight="1">
      <c r="B28" s="65"/>
      <c r="C28" s="65"/>
      <c r="D28" s="66"/>
      <c r="E28" s="66"/>
      <c r="F28" s="48" t="str">
        <f>IFERROR((IF(ISBLANK(Tabelle1[[#This Row],[Date (from)]]),"",Währung)),Welche Währung?)</f>
        <v/>
      </c>
      <c r="G28" s="67"/>
      <c r="H28" s="49" t="str">
        <f>IFERROR(IF(G28&gt;0,H27+Tabelle1[[#This Row],[Disbursement amount]],""),"")</f>
        <v/>
      </c>
      <c r="I28" s="68"/>
      <c r="J28" s="36">
        <f t="shared" si="0"/>
        <v>0</v>
      </c>
      <c r="L28">
        <f>Tabelle1[[#This Row],[Date (until)]]-Tabelle1[[#This Row],[Date (from)]]</f>
        <v>0</v>
      </c>
      <c r="M28">
        <f>Tabelle1[[#This Row],[Date (until)]]-Tabelle1[[#This Row],[Date (from)]]</f>
        <v>0</v>
      </c>
      <c r="N28">
        <f>DAYS360(Tabelle1[[#This Row],[Date (from)]],Tabelle1[[#This Row],[Date (until)]],TRUE)</f>
        <v>0</v>
      </c>
      <c r="O28">
        <f>ROUND(Tabelle1[[#This Row],[Disbursement amount]]*Tabelle1[[#This Row],[Interest rate]]*L28/360,2)</f>
        <v>0</v>
      </c>
      <c r="P28">
        <f>ROUND(Tabelle1[[#This Row],[Disbursement amount]]*Tabelle1[[#This Row],[Interest rate]]*M28/365,2)</f>
        <v>0</v>
      </c>
      <c r="Q28">
        <f>ROUND(Tabelle1[[#This Row],[Disbursement amount]]*Tabelle1[[#This Row],[Interest rate]]*N28/360,2)</f>
        <v>0</v>
      </c>
    </row>
    <row r="29" spans="2:17" ht="24" customHeight="1">
      <c r="B29" s="65"/>
      <c r="C29" s="65"/>
      <c r="D29" s="66"/>
      <c r="E29" s="66"/>
      <c r="F29" s="48" t="str">
        <f>IFERROR((IF(ISBLANK(Tabelle1[[#This Row],[Date (from)]]),"",Währung)),Welche Währung?)</f>
        <v/>
      </c>
      <c r="G29" s="67"/>
      <c r="H29" s="49" t="str">
        <f>IFERROR(IF(G29&gt;0,H28+Tabelle1[[#This Row],[Disbursement amount]],""),"")</f>
        <v/>
      </c>
      <c r="I29" s="68"/>
      <c r="J29" s="36">
        <f t="shared" si="0"/>
        <v>0</v>
      </c>
      <c r="L29">
        <f>Tabelle1[[#This Row],[Date (until)]]-Tabelle1[[#This Row],[Date (from)]]</f>
        <v>0</v>
      </c>
      <c r="M29">
        <f>Tabelle1[[#This Row],[Date (until)]]-Tabelle1[[#This Row],[Date (from)]]</f>
        <v>0</v>
      </c>
      <c r="N29">
        <f>DAYS360(Tabelle1[[#This Row],[Date (from)]],Tabelle1[[#This Row],[Date (until)]],TRUE)</f>
        <v>0</v>
      </c>
      <c r="O29">
        <f>ROUND(Tabelle1[[#This Row],[Disbursement amount]]*Tabelle1[[#This Row],[Interest rate]]*L29/360,2)</f>
        <v>0</v>
      </c>
      <c r="P29">
        <f>ROUND(Tabelle1[[#This Row],[Disbursement amount]]*Tabelle1[[#This Row],[Interest rate]]*M29/365,2)</f>
        <v>0</v>
      </c>
      <c r="Q29">
        <f>ROUND(Tabelle1[[#This Row],[Disbursement amount]]*Tabelle1[[#This Row],[Interest rate]]*N29/360,2)</f>
        <v>0</v>
      </c>
    </row>
    <row r="30" spans="2:17" ht="24" customHeight="1">
      <c r="B30" s="65"/>
      <c r="C30" s="65"/>
      <c r="D30" s="66"/>
      <c r="E30" s="66"/>
      <c r="F30" s="48" t="str">
        <f>IFERROR((IF(ISBLANK(Tabelle1[[#This Row],[Date (from)]]),"",Währung)),Welche Währung?)</f>
        <v/>
      </c>
      <c r="G30" s="67"/>
      <c r="H30" s="49" t="str">
        <f>IFERROR(IF(G30&gt;0,H29+Tabelle1[[#This Row],[Disbursement amount]],""),"")</f>
        <v/>
      </c>
      <c r="I30" s="68"/>
      <c r="J30" s="36">
        <f t="shared" si="0"/>
        <v>0</v>
      </c>
      <c r="L30">
        <f>Tabelle1[[#This Row],[Date (until)]]-Tabelle1[[#This Row],[Date (from)]]</f>
        <v>0</v>
      </c>
      <c r="M30">
        <f>Tabelle1[[#This Row],[Date (until)]]-Tabelle1[[#This Row],[Date (from)]]</f>
        <v>0</v>
      </c>
      <c r="N30">
        <f>DAYS360(Tabelle1[[#This Row],[Date (from)]],Tabelle1[[#This Row],[Date (until)]],TRUE)</f>
        <v>0</v>
      </c>
      <c r="O30">
        <f>ROUND(Tabelle1[[#This Row],[Disbursement amount]]*Tabelle1[[#This Row],[Interest rate]]*L30/360,2)</f>
        <v>0</v>
      </c>
      <c r="P30">
        <f>ROUND(Tabelle1[[#This Row],[Disbursement amount]]*Tabelle1[[#This Row],[Interest rate]]*M30/365,2)</f>
        <v>0</v>
      </c>
      <c r="Q30">
        <f>ROUND(Tabelle1[[#This Row],[Disbursement amount]]*Tabelle1[[#This Row],[Interest rate]]*N30/360,2)</f>
        <v>0</v>
      </c>
    </row>
    <row r="31" spans="2:17" ht="24" customHeight="1">
      <c r="B31" s="65"/>
      <c r="C31" s="65"/>
      <c r="D31" s="66"/>
      <c r="E31" s="66"/>
      <c r="F31" s="48" t="str">
        <f>IFERROR((IF(ISBLANK(Tabelle1[[#This Row],[Date (from)]]),"",Währung)),Welche Währung?)</f>
        <v/>
      </c>
      <c r="G31" s="67"/>
      <c r="H31" s="49" t="str">
        <f>IFERROR(IF(G31&gt;0,H30+Tabelle1[[#This Row],[Disbursement amount]],""),"")</f>
        <v/>
      </c>
      <c r="I31" s="68"/>
      <c r="J31" s="36">
        <f t="shared" si="0"/>
        <v>0</v>
      </c>
      <c r="L31">
        <f>Tabelle1[[#This Row],[Date (until)]]-Tabelle1[[#This Row],[Date (from)]]</f>
        <v>0</v>
      </c>
      <c r="M31">
        <f>Tabelle1[[#This Row],[Date (until)]]-Tabelle1[[#This Row],[Date (from)]]</f>
        <v>0</v>
      </c>
      <c r="N31">
        <f>DAYS360(Tabelle1[[#This Row],[Date (from)]],Tabelle1[[#This Row],[Date (until)]],TRUE)</f>
        <v>0</v>
      </c>
      <c r="O31">
        <f>ROUND(Tabelle1[[#This Row],[Disbursement amount]]*Tabelle1[[#This Row],[Interest rate]]*L31/360,2)</f>
        <v>0</v>
      </c>
      <c r="P31">
        <f>ROUND(Tabelle1[[#This Row],[Disbursement amount]]*Tabelle1[[#This Row],[Interest rate]]*M31/365,2)</f>
        <v>0</v>
      </c>
      <c r="Q31">
        <f>ROUND(Tabelle1[[#This Row],[Disbursement amount]]*Tabelle1[[#This Row],[Interest rate]]*N31/360,2)</f>
        <v>0</v>
      </c>
    </row>
    <row r="32" spans="2:17" ht="24" customHeight="1">
      <c r="B32" s="65"/>
      <c r="C32" s="65"/>
      <c r="D32" s="66"/>
      <c r="E32" s="66"/>
      <c r="F32" s="48" t="str">
        <f>IFERROR((IF(ISBLANK(Tabelle1[[#This Row],[Date (from)]]),"",Währung)),Welche Währung?)</f>
        <v/>
      </c>
      <c r="G32" s="67"/>
      <c r="H32" s="49" t="str">
        <f>IFERROR(IF(G32&gt;0,H31+Tabelle1[[#This Row],[Disbursement amount]],""),"")</f>
        <v/>
      </c>
      <c r="I32" s="68"/>
      <c r="J32" s="36">
        <f t="shared" si="0"/>
        <v>0</v>
      </c>
      <c r="L32">
        <f>Tabelle1[[#This Row],[Date (until)]]-Tabelle1[[#This Row],[Date (from)]]</f>
        <v>0</v>
      </c>
      <c r="M32">
        <f>Tabelle1[[#This Row],[Date (until)]]-Tabelle1[[#This Row],[Date (from)]]</f>
        <v>0</v>
      </c>
      <c r="N32">
        <f>DAYS360(Tabelle1[[#This Row],[Date (from)]],Tabelle1[[#This Row],[Date (until)]],TRUE)</f>
        <v>0</v>
      </c>
      <c r="O32">
        <f>ROUND(Tabelle1[[#This Row],[Disbursement amount]]*Tabelle1[[#This Row],[Interest rate]]*L32/360,2)</f>
        <v>0</v>
      </c>
      <c r="P32">
        <f>ROUND(Tabelle1[[#This Row],[Disbursement amount]]*Tabelle1[[#This Row],[Interest rate]]*M32/365,2)</f>
        <v>0</v>
      </c>
      <c r="Q32">
        <f>ROUND(Tabelle1[[#This Row],[Disbursement amount]]*Tabelle1[[#This Row],[Interest rate]]*N32/360,2)</f>
        <v>0</v>
      </c>
    </row>
    <row r="33" spans="2:17" ht="24" customHeight="1">
      <c r="B33" s="65"/>
      <c r="C33" s="65"/>
      <c r="D33" s="66"/>
      <c r="E33" s="66"/>
      <c r="F33" s="48" t="str">
        <f>IFERROR((IF(ISBLANK(Tabelle1[[#This Row],[Date (from)]]),"",Währung)),Welche Währung?)</f>
        <v/>
      </c>
      <c r="G33" s="67"/>
      <c r="H33" s="49" t="str">
        <f>IFERROR(IF(G33&gt;0,H32+Tabelle1[[#This Row],[Disbursement amount]],""),"")</f>
        <v/>
      </c>
      <c r="I33" s="68"/>
      <c r="J33" s="36">
        <f t="shared" si="0"/>
        <v>0</v>
      </c>
      <c r="L33">
        <f>Tabelle1[[#This Row],[Date (until)]]-Tabelle1[[#This Row],[Date (from)]]</f>
        <v>0</v>
      </c>
      <c r="M33">
        <f>Tabelle1[[#This Row],[Date (until)]]-Tabelle1[[#This Row],[Date (from)]]</f>
        <v>0</v>
      </c>
      <c r="N33">
        <f>DAYS360(Tabelle1[[#This Row],[Date (from)]],Tabelle1[[#This Row],[Date (until)]],TRUE)</f>
        <v>0</v>
      </c>
      <c r="O33">
        <f>ROUND(Tabelle1[[#This Row],[Disbursement amount]]*Tabelle1[[#This Row],[Interest rate]]*L33/360,2)</f>
        <v>0</v>
      </c>
      <c r="P33">
        <f>ROUND(Tabelle1[[#This Row],[Disbursement amount]]*Tabelle1[[#This Row],[Interest rate]]*M33/365,2)</f>
        <v>0</v>
      </c>
      <c r="Q33">
        <f>ROUND(Tabelle1[[#This Row],[Disbursement amount]]*Tabelle1[[#This Row],[Interest rate]]*N33/360,2)</f>
        <v>0</v>
      </c>
    </row>
    <row r="34" spans="2:17" ht="24" customHeight="1">
      <c r="B34" s="65"/>
      <c r="C34" s="65"/>
      <c r="D34" s="66"/>
      <c r="E34" s="66"/>
      <c r="F34" s="48" t="str">
        <f>IFERROR((IF(ISBLANK(Tabelle1[[#This Row],[Date (from)]]),"",Währung)),Welche Währung?)</f>
        <v/>
      </c>
      <c r="G34" s="67"/>
      <c r="H34" s="49" t="str">
        <f>IFERROR(IF(G34&gt;0,H33+Tabelle1[[#This Row],[Disbursement amount]],""),"")</f>
        <v/>
      </c>
      <c r="I34" s="68"/>
      <c r="J34" s="36">
        <f t="shared" si="0"/>
        <v>0</v>
      </c>
      <c r="L34">
        <f>Tabelle1[[#This Row],[Date (until)]]-Tabelle1[[#This Row],[Date (from)]]</f>
        <v>0</v>
      </c>
      <c r="M34">
        <f>Tabelle1[[#This Row],[Date (until)]]-Tabelle1[[#This Row],[Date (from)]]</f>
        <v>0</v>
      </c>
      <c r="N34">
        <f>DAYS360(Tabelle1[[#This Row],[Date (from)]],Tabelle1[[#This Row],[Date (until)]],TRUE)</f>
        <v>0</v>
      </c>
      <c r="O34">
        <f>ROUND(Tabelle1[[#This Row],[Disbursement amount]]*Tabelle1[[#This Row],[Interest rate]]*L34/360,2)</f>
        <v>0</v>
      </c>
      <c r="P34">
        <f>ROUND(Tabelle1[[#This Row],[Disbursement amount]]*Tabelle1[[#This Row],[Interest rate]]*M34/365,2)</f>
        <v>0</v>
      </c>
      <c r="Q34">
        <f>ROUND(Tabelle1[[#This Row],[Disbursement amount]]*Tabelle1[[#This Row],[Interest rate]]*N34/360,2)</f>
        <v>0</v>
      </c>
    </row>
    <row r="35" spans="2:17" ht="24" customHeight="1">
      <c r="B35" s="65"/>
      <c r="C35" s="65"/>
      <c r="D35" s="66"/>
      <c r="E35" s="66"/>
      <c r="F35" s="48" t="str">
        <f>IFERROR((IF(ISBLANK(Tabelle1[[#This Row],[Date (from)]]),"",Währung)),Welche Währung?)</f>
        <v/>
      </c>
      <c r="G35" s="67"/>
      <c r="H35" s="49" t="str">
        <f>IFERROR(IF(G35&gt;0,H34+Tabelle1[[#This Row],[Disbursement amount]],""),"")</f>
        <v/>
      </c>
      <c r="I35" s="68"/>
      <c r="J35" s="36">
        <f t="shared" si="0"/>
        <v>0</v>
      </c>
      <c r="L35">
        <f>Tabelle1[[#This Row],[Date (until)]]-Tabelle1[[#This Row],[Date (from)]]</f>
        <v>0</v>
      </c>
      <c r="M35">
        <f>Tabelle1[[#This Row],[Date (until)]]-Tabelle1[[#This Row],[Date (from)]]</f>
        <v>0</v>
      </c>
      <c r="N35">
        <f>DAYS360(Tabelle1[[#This Row],[Date (from)]],Tabelle1[[#This Row],[Date (until)]],TRUE)</f>
        <v>0</v>
      </c>
      <c r="O35">
        <f>ROUND(Tabelle1[[#This Row],[Disbursement amount]]*Tabelle1[[#This Row],[Interest rate]]*L35/360,2)</f>
        <v>0</v>
      </c>
      <c r="P35">
        <f>ROUND(Tabelle1[[#This Row],[Disbursement amount]]*Tabelle1[[#This Row],[Interest rate]]*M35/365,2)</f>
        <v>0</v>
      </c>
      <c r="Q35">
        <f>ROUND(Tabelle1[[#This Row],[Disbursement amount]]*Tabelle1[[#This Row],[Interest rate]]*N35/360,2)</f>
        <v>0</v>
      </c>
    </row>
    <row r="36" spans="2:17" ht="24" customHeight="1">
      <c r="B36" s="65"/>
      <c r="C36" s="65"/>
      <c r="D36" s="66"/>
      <c r="E36" s="66"/>
      <c r="F36" s="48" t="str">
        <f>IFERROR((IF(ISBLANK(Tabelle1[[#This Row],[Date (from)]]),"",Währung)),Welche Währung?)</f>
        <v/>
      </c>
      <c r="G36" s="67"/>
      <c r="H36" s="49" t="str">
        <f>IFERROR(IF(G36&gt;0,H35+Tabelle1[[#This Row],[Disbursement amount]],""),"")</f>
        <v/>
      </c>
      <c r="I36" s="68"/>
      <c r="J36" s="36">
        <f t="shared" si="0"/>
        <v>0</v>
      </c>
      <c r="L36">
        <f>Tabelle1[[#This Row],[Date (until)]]-Tabelle1[[#This Row],[Date (from)]]</f>
        <v>0</v>
      </c>
      <c r="M36">
        <f>Tabelle1[[#This Row],[Date (until)]]-Tabelle1[[#This Row],[Date (from)]]</f>
        <v>0</v>
      </c>
      <c r="N36">
        <f>DAYS360(Tabelle1[[#This Row],[Date (from)]],Tabelle1[[#This Row],[Date (until)]],TRUE)</f>
        <v>0</v>
      </c>
      <c r="O36">
        <f>ROUND(Tabelle1[[#This Row],[Disbursement amount]]*Tabelle1[[#This Row],[Interest rate]]*L36/360,2)</f>
        <v>0</v>
      </c>
      <c r="P36">
        <f>ROUND(Tabelle1[[#This Row],[Disbursement amount]]*Tabelle1[[#This Row],[Interest rate]]*M36/365,2)</f>
        <v>0</v>
      </c>
      <c r="Q36">
        <f>ROUND(Tabelle1[[#This Row],[Disbursement amount]]*Tabelle1[[#This Row],[Interest rate]]*N36/360,2)</f>
        <v>0</v>
      </c>
    </row>
    <row r="37" spans="2:17" ht="24" customHeight="1">
      <c r="B37" s="65"/>
      <c r="C37" s="65"/>
      <c r="D37" s="66"/>
      <c r="E37" s="66"/>
      <c r="F37" s="48" t="str">
        <f>IFERROR((IF(ISBLANK(Tabelle1[[#This Row],[Date (from)]]),"",Währung)),Welche Währung?)</f>
        <v/>
      </c>
      <c r="G37" s="67"/>
      <c r="H37" s="49" t="str">
        <f>IFERROR(IF(G37&gt;0,H36+Tabelle1[[#This Row],[Disbursement amount]],""),"")</f>
        <v/>
      </c>
      <c r="I37" s="68"/>
      <c r="J37" s="36">
        <f t="shared" si="0"/>
        <v>0</v>
      </c>
      <c r="L37">
        <f>Tabelle1[[#This Row],[Date (until)]]-Tabelle1[[#This Row],[Date (from)]]</f>
        <v>0</v>
      </c>
      <c r="M37">
        <f>Tabelle1[[#This Row],[Date (until)]]-Tabelle1[[#This Row],[Date (from)]]</f>
        <v>0</v>
      </c>
      <c r="N37">
        <f>DAYS360(Tabelle1[[#This Row],[Date (from)]],Tabelle1[[#This Row],[Date (until)]],TRUE)</f>
        <v>0</v>
      </c>
      <c r="O37">
        <f>ROUND(Tabelle1[[#This Row],[Disbursement amount]]*Tabelle1[[#This Row],[Interest rate]]*L37/360,2)</f>
        <v>0</v>
      </c>
      <c r="P37">
        <f>ROUND(Tabelle1[[#This Row],[Disbursement amount]]*Tabelle1[[#This Row],[Interest rate]]*M37/365,2)</f>
        <v>0</v>
      </c>
      <c r="Q37">
        <f>ROUND(Tabelle1[[#This Row],[Disbursement amount]]*Tabelle1[[#This Row],[Interest rate]]*N37/360,2)</f>
        <v>0</v>
      </c>
    </row>
    <row r="38" spans="2:17" ht="24" customHeight="1">
      <c r="B38" s="65"/>
      <c r="C38" s="65"/>
      <c r="D38" s="66"/>
      <c r="E38" s="66"/>
      <c r="F38" s="48" t="str">
        <f>IFERROR((IF(ISBLANK(Tabelle1[[#This Row],[Date (from)]]),"",Währung)),Welche Währung?)</f>
        <v/>
      </c>
      <c r="G38" s="67"/>
      <c r="H38" s="49" t="str">
        <f>IFERROR(IF(G38&gt;0,H37+Tabelle1[[#This Row],[Disbursement amount]],""),"")</f>
        <v/>
      </c>
      <c r="I38" s="68"/>
      <c r="J38" s="36">
        <f t="shared" si="0"/>
        <v>0</v>
      </c>
      <c r="L38">
        <f>Tabelle1[[#This Row],[Date (until)]]-Tabelle1[[#This Row],[Date (from)]]</f>
        <v>0</v>
      </c>
      <c r="M38">
        <f>Tabelle1[[#This Row],[Date (until)]]-Tabelle1[[#This Row],[Date (from)]]</f>
        <v>0</v>
      </c>
      <c r="N38">
        <f>DAYS360(Tabelle1[[#This Row],[Date (from)]],Tabelle1[[#This Row],[Date (until)]],TRUE)</f>
        <v>0</v>
      </c>
      <c r="O38">
        <f>ROUND(Tabelle1[[#This Row],[Disbursement amount]]*Tabelle1[[#This Row],[Interest rate]]*L38/360,2)</f>
        <v>0</v>
      </c>
      <c r="P38">
        <f>ROUND(Tabelle1[[#This Row],[Disbursement amount]]*Tabelle1[[#This Row],[Interest rate]]*M38/365,2)</f>
        <v>0</v>
      </c>
      <c r="Q38">
        <f>ROUND(Tabelle1[[#This Row],[Disbursement amount]]*Tabelle1[[#This Row],[Interest rate]]*N38/360,2)</f>
        <v>0</v>
      </c>
    </row>
    <row r="39" spans="2:17" ht="24" customHeight="1">
      <c r="B39" s="65"/>
      <c r="C39" s="65"/>
      <c r="D39" s="66"/>
      <c r="E39" s="66"/>
      <c r="F39" s="48" t="str">
        <f>IFERROR((IF(ISBLANK(Tabelle1[[#This Row],[Date (from)]]),"",Währung)),Welche Währung?)</f>
        <v/>
      </c>
      <c r="G39" s="67"/>
      <c r="H39" s="49" t="str">
        <f>IFERROR(IF(G39&gt;0,H38+Tabelle1[[#This Row],[Disbursement amount]],""),"")</f>
        <v/>
      </c>
      <c r="I39" s="68"/>
      <c r="J39" s="36">
        <f t="shared" si="0"/>
        <v>0</v>
      </c>
      <c r="L39">
        <f>Tabelle1[[#This Row],[Date (until)]]-Tabelle1[[#This Row],[Date (from)]]</f>
        <v>0</v>
      </c>
      <c r="M39">
        <f>Tabelle1[[#This Row],[Date (until)]]-Tabelle1[[#This Row],[Date (from)]]</f>
        <v>0</v>
      </c>
      <c r="N39">
        <f>DAYS360(Tabelle1[[#This Row],[Date (from)]],Tabelle1[[#This Row],[Date (until)]],TRUE)</f>
        <v>0</v>
      </c>
      <c r="O39">
        <f>ROUND(Tabelle1[[#This Row],[Disbursement amount]]*Tabelle1[[#This Row],[Interest rate]]*L39/360,2)</f>
        <v>0</v>
      </c>
      <c r="P39">
        <f>ROUND(Tabelle1[[#This Row],[Disbursement amount]]*Tabelle1[[#This Row],[Interest rate]]*M39/365,2)</f>
        <v>0</v>
      </c>
      <c r="Q39">
        <f>ROUND(Tabelle1[[#This Row],[Disbursement amount]]*Tabelle1[[#This Row],[Interest rate]]*N39/360,2)</f>
        <v>0</v>
      </c>
    </row>
    <row r="40" spans="2:17" ht="24" customHeight="1">
      <c r="B40" s="65"/>
      <c r="C40" s="65"/>
      <c r="D40" s="66"/>
      <c r="E40" s="66"/>
      <c r="F40" s="48" t="str">
        <f>IFERROR((IF(ISBLANK(Tabelle1[[#This Row],[Date (from)]]),"",Währung)),Welche Währung?)</f>
        <v/>
      </c>
      <c r="G40" s="67"/>
      <c r="H40" s="49" t="str">
        <f>IFERROR(IF(G40&gt;0,H39+Tabelle1[[#This Row],[Disbursement amount]],""),"")</f>
        <v/>
      </c>
      <c r="I40" s="68"/>
      <c r="J40" s="36">
        <f t="shared" si="0"/>
        <v>0</v>
      </c>
      <c r="L40">
        <f>Tabelle1[[#This Row],[Date (until)]]-Tabelle1[[#This Row],[Date (from)]]</f>
        <v>0</v>
      </c>
      <c r="M40">
        <f>Tabelle1[[#This Row],[Date (until)]]-Tabelle1[[#This Row],[Date (from)]]</f>
        <v>0</v>
      </c>
      <c r="N40">
        <f>DAYS360(Tabelle1[[#This Row],[Date (from)]],Tabelle1[[#This Row],[Date (until)]],TRUE)</f>
        <v>0</v>
      </c>
      <c r="O40">
        <f>ROUND(Tabelle1[[#This Row],[Disbursement amount]]*Tabelle1[[#This Row],[Interest rate]]*L40/360,2)</f>
        <v>0</v>
      </c>
      <c r="P40">
        <f>ROUND(Tabelle1[[#This Row],[Disbursement amount]]*Tabelle1[[#This Row],[Interest rate]]*M40/365,2)</f>
        <v>0</v>
      </c>
      <c r="Q40">
        <f>ROUND(Tabelle1[[#This Row],[Disbursement amount]]*Tabelle1[[#This Row],[Interest rate]]*N40/360,2)</f>
        <v>0</v>
      </c>
    </row>
    <row r="41" spans="2:17" ht="24" customHeight="1">
      <c r="B41" s="65"/>
      <c r="C41" s="65"/>
      <c r="D41" s="66"/>
      <c r="E41" s="66"/>
      <c r="F41" s="48" t="str">
        <f>IFERROR((IF(ISBLANK(Tabelle1[[#This Row],[Date (from)]]),"",Währung)),Welche Währung?)</f>
        <v/>
      </c>
      <c r="G41" s="67"/>
      <c r="H41" s="49" t="str">
        <f>IFERROR(IF(G41&gt;0,H40+Tabelle1[[#This Row],[Disbursement amount]],""),"")</f>
        <v/>
      </c>
      <c r="I41" s="68"/>
      <c r="J41" s="36">
        <f t="shared" si="0"/>
        <v>0</v>
      </c>
      <c r="L41">
        <f>Tabelle1[[#This Row],[Date (until)]]-Tabelle1[[#This Row],[Date (from)]]</f>
        <v>0</v>
      </c>
      <c r="M41">
        <f>Tabelle1[[#This Row],[Date (until)]]-Tabelle1[[#This Row],[Date (from)]]</f>
        <v>0</v>
      </c>
      <c r="N41">
        <f>DAYS360(Tabelle1[[#This Row],[Date (from)]],Tabelle1[[#This Row],[Date (until)]],TRUE)</f>
        <v>0</v>
      </c>
      <c r="O41">
        <f>ROUND(Tabelle1[[#This Row],[Disbursement amount]]*Tabelle1[[#This Row],[Interest rate]]*L41/360,2)</f>
        <v>0</v>
      </c>
      <c r="P41">
        <f>ROUND(Tabelle1[[#This Row],[Disbursement amount]]*Tabelle1[[#This Row],[Interest rate]]*M41/365,2)</f>
        <v>0</v>
      </c>
      <c r="Q41">
        <f>ROUND(Tabelle1[[#This Row],[Disbursement amount]]*Tabelle1[[#This Row],[Interest rate]]*N41/360,2)</f>
        <v>0</v>
      </c>
    </row>
    <row r="42" spans="2:17" ht="24" customHeight="1">
      <c r="B42" s="65"/>
      <c r="C42" s="65"/>
      <c r="D42" s="66"/>
      <c r="E42" s="66"/>
      <c r="F42" s="48" t="str">
        <f>IFERROR((IF(ISBLANK(Tabelle1[[#This Row],[Date (from)]]),"",Währung)),Welche Währung?)</f>
        <v/>
      </c>
      <c r="G42" s="67"/>
      <c r="H42" s="49" t="str">
        <f>IFERROR(IF(G42&gt;0,H41+Tabelle1[[#This Row],[Disbursement amount]],""),"")</f>
        <v/>
      </c>
      <c r="I42" s="68"/>
      <c r="J42" s="36">
        <f t="shared" si="0"/>
        <v>0</v>
      </c>
      <c r="L42">
        <f>Tabelle1[[#This Row],[Date (until)]]-Tabelle1[[#This Row],[Date (from)]]</f>
        <v>0</v>
      </c>
      <c r="M42">
        <f>Tabelle1[[#This Row],[Date (until)]]-Tabelle1[[#This Row],[Date (from)]]</f>
        <v>0</v>
      </c>
      <c r="N42">
        <f>DAYS360(Tabelle1[[#This Row],[Date (from)]],Tabelle1[[#This Row],[Date (until)]],TRUE)</f>
        <v>0</v>
      </c>
      <c r="O42">
        <f>ROUND(Tabelle1[[#This Row],[Disbursement amount]]*Tabelle1[[#This Row],[Interest rate]]*L42/360,2)</f>
        <v>0</v>
      </c>
      <c r="P42">
        <f>ROUND(Tabelle1[[#This Row],[Disbursement amount]]*Tabelle1[[#This Row],[Interest rate]]*M42/365,2)</f>
        <v>0</v>
      </c>
      <c r="Q42">
        <f>ROUND(Tabelle1[[#This Row],[Disbursement amount]]*Tabelle1[[#This Row],[Interest rate]]*N42/360,2)</f>
        <v>0</v>
      </c>
    </row>
    <row r="43" spans="2:17" ht="24" customHeight="1">
      <c r="B43" s="65"/>
      <c r="C43" s="65"/>
      <c r="D43" s="66"/>
      <c r="E43" s="66"/>
      <c r="F43" s="48" t="str">
        <f>IFERROR((IF(ISBLANK(Tabelle1[[#This Row],[Date (from)]]),"",Währung)),Welche Währung?)</f>
        <v/>
      </c>
      <c r="G43" s="67"/>
      <c r="H43" s="49" t="str">
        <f>IFERROR(IF(G43&gt;0,H42+Tabelle1[[#This Row],[Disbursement amount]],""),"")</f>
        <v/>
      </c>
      <c r="I43" s="68"/>
      <c r="J43" s="36">
        <f t="shared" si="0"/>
        <v>0</v>
      </c>
      <c r="L43">
        <f>Tabelle1[[#This Row],[Date (until)]]-Tabelle1[[#This Row],[Date (from)]]</f>
        <v>0</v>
      </c>
      <c r="M43">
        <f>Tabelle1[[#This Row],[Date (until)]]-Tabelle1[[#This Row],[Date (from)]]</f>
        <v>0</v>
      </c>
      <c r="N43">
        <f>DAYS360(Tabelle1[[#This Row],[Date (from)]],Tabelle1[[#This Row],[Date (until)]],TRUE)</f>
        <v>0</v>
      </c>
      <c r="O43">
        <f>ROUND(Tabelle1[[#This Row],[Disbursement amount]]*Tabelle1[[#This Row],[Interest rate]]*L43/360,2)</f>
        <v>0</v>
      </c>
      <c r="P43">
        <f>ROUND(Tabelle1[[#This Row],[Disbursement amount]]*Tabelle1[[#This Row],[Interest rate]]*M43/365,2)</f>
        <v>0</v>
      </c>
      <c r="Q43">
        <f>ROUND(Tabelle1[[#This Row],[Disbursement amount]]*Tabelle1[[#This Row],[Interest rate]]*N43/360,2)</f>
        <v>0</v>
      </c>
    </row>
    <row r="44" spans="2:17" ht="24" customHeight="1">
      <c r="B44" s="129"/>
      <c r="C44" s="129"/>
      <c r="D44" s="130"/>
      <c r="E44" s="130"/>
      <c r="F44" s="131" t="s">
        <v>73</v>
      </c>
      <c r="G44" s="132">
        <f>G50+G51</f>
        <v>0</v>
      </c>
      <c r="H44" s="133"/>
      <c r="I44" s="134"/>
      <c r="J44" s="135">
        <f>SUBTOTAL(109,Tabelle1[interim interest])</f>
        <v>0</v>
      </c>
    </row>
    <row r="45" spans="2:17" ht="24" customHeight="1">
      <c r="E45" s="46" t="s">
        <v>131</v>
      </c>
      <c r="F45" s="53" t="s">
        <v>29</v>
      </c>
      <c r="G45" s="53">
        <f>Kap_ged</f>
        <v>0</v>
      </c>
      <c r="H45" t="b">
        <f>IF(Tabelle1[[#Totals],[Disbursement amount]]&lt;=G45,TRUE,FALSE)</f>
        <v>1</v>
      </c>
    </row>
    <row r="46" spans="2:17" ht="24" customHeight="1" thickBot="1"/>
    <row r="47" spans="2:17" ht="21" customHeight="1" thickBot="1">
      <c r="D47" s="77" t="s">
        <v>74</v>
      </c>
      <c r="E47" s="78" t="s">
        <v>75</v>
      </c>
      <c r="F47" s="38" t="str">
        <f>IF((ISBLANK(Währung)),"",Währung)</f>
        <v/>
      </c>
      <c r="G47" s="37">
        <f>SUMIF(Tabelle1[Delivery/Service],$E$47,Tabelle1[Disbursement amount])</f>
        <v>0</v>
      </c>
    </row>
    <row r="48" spans="2:17" ht="21" customHeight="1" thickBot="1">
      <c r="D48" s="77" t="s">
        <v>74</v>
      </c>
      <c r="E48" s="78" t="s">
        <v>76</v>
      </c>
      <c r="F48" s="38" t="str">
        <f>IF((ISBLANK(Währung)),"",Währung)</f>
        <v/>
      </c>
      <c r="G48" s="37">
        <f>SUMIF(Tabelle1[Delivery/Service],$E$48,Tabelle1[Disbursement amount])</f>
        <v>0</v>
      </c>
    </row>
    <row r="49" spans="2:10" ht="21" customHeight="1" thickBot="1">
      <c r="D49" s="77" t="s">
        <v>74</v>
      </c>
      <c r="E49" s="78" t="s">
        <v>78</v>
      </c>
      <c r="F49" s="38" t="str">
        <f>IF((ISBLANK(Währung)),"",Währung)</f>
        <v/>
      </c>
      <c r="G49" s="37">
        <f>SUMIF(Tabelle1[Delivery/Service],$E$49,Tabelle1[Disbursement amount])</f>
        <v>0</v>
      </c>
    </row>
    <row r="50" spans="2:10" ht="21" customHeight="1" thickBot="1">
      <c r="D50" s="77" t="s">
        <v>74</v>
      </c>
      <c r="E50" s="78" t="s">
        <v>79</v>
      </c>
      <c r="F50" s="38" t="str">
        <f>IF((ISBLANK(Währung)),"",Währung)</f>
        <v/>
      </c>
      <c r="G50" s="37">
        <f>SUMIF(Tabelle1[Way of disbursement],$E$50,Tabelle1[Disbursement amount])</f>
        <v>0</v>
      </c>
    </row>
    <row r="51" spans="2:10" ht="21" customHeight="1" thickBot="1">
      <c r="D51" s="77" t="s">
        <v>74</v>
      </c>
      <c r="E51" s="78" t="s">
        <v>80</v>
      </c>
      <c r="F51" s="38" t="str">
        <f>IF((ISBLANK(Währung)),"",Währung)</f>
        <v/>
      </c>
      <c r="G51" s="37">
        <f>SUMIF(Tabelle1[Way of disbursement],$E$51,Tabelle1[Disbursement amount])</f>
        <v>0</v>
      </c>
    </row>
    <row r="52" spans="2:10">
      <c r="B52" s="16"/>
      <c r="C52" s="16"/>
      <c r="F52" s="33"/>
      <c r="G52" s="33"/>
    </row>
    <row r="53" spans="2:10" ht="50.25" customHeight="1">
      <c r="B53" s="116" t="s">
        <v>77</v>
      </c>
      <c r="C53" s="116"/>
      <c r="D53" s="39"/>
      <c r="E53" s="39"/>
    </row>
    <row r="54" spans="2:10" ht="50.25" customHeight="1">
      <c r="B54" s="173"/>
      <c r="C54" s="173"/>
      <c r="D54" s="174"/>
      <c r="E54" s="174"/>
      <c r="F54" s="174"/>
      <c r="G54" s="174"/>
      <c r="H54" s="174"/>
      <c r="I54" s="174"/>
      <c r="J54" s="174"/>
    </row>
    <row r="55" spans="2:10" ht="50.25" customHeight="1">
      <c r="B55" s="174"/>
      <c r="C55" s="174"/>
      <c r="D55" s="174"/>
      <c r="E55" s="174"/>
      <c r="F55" s="174"/>
      <c r="G55" s="174"/>
      <c r="H55" s="174"/>
      <c r="I55" s="174"/>
      <c r="J55" s="174"/>
    </row>
    <row r="56" spans="2:10" ht="50.25" customHeight="1">
      <c r="B56" s="174"/>
      <c r="C56" s="174"/>
      <c r="D56" s="174"/>
      <c r="E56" s="174"/>
      <c r="F56" s="174"/>
      <c r="G56" s="174"/>
      <c r="H56" s="174"/>
      <c r="I56" s="174"/>
      <c r="J56" s="174"/>
    </row>
    <row r="57" spans="2:10" ht="50.25" customHeight="1">
      <c r="B57" s="174"/>
      <c r="C57" s="174"/>
      <c r="D57" s="174"/>
      <c r="E57" s="174"/>
      <c r="F57" s="174"/>
      <c r="G57" s="174"/>
      <c r="H57" s="174"/>
      <c r="I57" s="174"/>
      <c r="J57" s="174"/>
    </row>
    <row r="58" spans="2:10" ht="50.25" customHeight="1">
      <c r="B58" s="174"/>
      <c r="C58" s="174"/>
      <c r="D58" s="174"/>
      <c r="E58" s="174"/>
      <c r="F58" s="174"/>
      <c r="G58" s="174"/>
      <c r="H58" s="174"/>
      <c r="I58" s="174"/>
      <c r="J58" s="174"/>
    </row>
  </sheetData>
  <sheetProtection algorithmName="SHA-512" hashValue="SOwRPGCa5KkiKXaoPMX1vFn8qyu+kDg1PEJDoNvG55Dmsft0RWhMos6fIXohXtixikXk1tg0FnA1qx8mDhHPGQ==" saltValue="uQOdV+c8V72nYJBWEUWDkg==" spinCount="100000" sheet="1" objects="1" scenarios="1"/>
  <mergeCells count="1">
    <mergeCell ref="B54:J58"/>
  </mergeCells>
  <conditionalFormatting sqref="G44">
    <cfRule type="cellIs" dxfId="63" priority="3" operator="greaterThan">
      <formula>$G$45</formula>
    </cfRule>
  </conditionalFormatting>
  <conditionalFormatting sqref="H45">
    <cfRule type="cellIs" dxfId="62" priority="1" operator="equal">
      <formula>FALSE</formula>
    </cfRule>
    <cfRule type="cellIs" dxfId="61" priority="2" operator="equal">
      <formula>TRUE</formula>
    </cfRule>
  </conditionalFormatting>
  <pageMargins left="0.25" right="0.25" top="0.75" bottom="0.75" header="0.3" footer="0.3"/>
  <pageSetup paperSize="9" scale="41" orientation="landscape" r:id="rId1"/>
  <ignoredErrors>
    <ignoredError sqref="F25:F43 G47:G51 F20:F24 G45 F47:F51" emptyCellReference="1"/>
    <ignoredError sqref="H20:H23" calculatedColumn="1"/>
    <ignoredError sqref="H24:H43" emptyCellReference="1" calculatedColumn="1"/>
  </ignoredErrors>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locked="0" defaultSize="0" autoLine="0" autoPict="0" altText="Please enter an interest calculation method._x000a__x000a_">
                <anchor moveWithCells="1">
                  <from>
                    <xdr:col>2</xdr:col>
                    <xdr:colOff>171450</xdr:colOff>
                    <xdr:row>16</xdr:row>
                    <xdr:rowOff>57150</xdr:rowOff>
                  </from>
                  <to>
                    <xdr:col>2</xdr:col>
                    <xdr:colOff>1581150</xdr:colOff>
                    <xdr:row>17</xdr:row>
                    <xdr:rowOff>28575</xdr:rowOff>
                  </to>
                </anchor>
              </controlPr>
            </control>
          </mc:Choice>
        </mc:AlternateContent>
      </controls>
    </mc:Choice>
  </mc:AlternateContent>
  <tableParts count="1">
    <tablePart r:id="rId5"/>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Hilfsblatt!$A$26:$A$29</xm:f>
          </x14:formula1>
          <xm:sqref>D20:D43</xm:sqref>
        </x14:dataValidation>
        <x14:dataValidation type="list" allowBlank="1" showInputMessage="1" showErrorMessage="1">
          <x14:formula1>
            <xm:f>Hilfsblatt!$D$26:$D$28</xm:f>
          </x14:formula1>
          <xm:sqref>E20:E43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X72"/>
  <sheetViews>
    <sheetView showGridLines="0" zoomScaleNormal="100" workbookViewId="0">
      <pane ySplit="14" topLeftCell="A15" activePane="bottomLeft" state="frozen"/>
      <selection pane="bottomLeft" activeCell="L59" sqref="L59"/>
    </sheetView>
  </sheetViews>
  <sheetFormatPr baseColWidth="10" defaultRowHeight="14.25" outlineLevelCol="1"/>
  <cols>
    <col min="2" max="2" width="16.69921875" customWidth="1"/>
    <col min="3" max="3" width="14.8984375" bestFit="1" customWidth="1"/>
    <col min="4" max="4" width="18.296875" customWidth="1"/>
    <col min="5" max="5" width="12.5" customWidth="1"/>
    <col min="6" max="8" width="22.69921875" customWidth="1"/>
    <col min="9" max="10" width="14.69921875" customWidth="1" outlineLevel="1"/>
    <col min="11" max="12" width="22.69921875" customWidth="1"/>
    <col min="13" max="13" width="14.69921875" customWidth="1" outlineLevel="1"/>
    <col min="14" max="16" width="22.69921875" customWidth="1"/>
    <col min="18" max="19" width="13.8984375" hidden="1" customWidth="1" outlineLevel="1"/>
    <col min="20" max="20" width="13.5" hidden="1" customWidth="1" outlineLevel="1"/>
    <col min="21" max="22" width="11.19921875" hidden="1" customWidth="1" outlineLevel="1"/>
    <col min="23" max="23" width="14.296875" hidden="1" customWidth="1" outlineLevel="1"/>
    <col min="24" max="24" width="11.19921875" collapsed="1"/>
  </cols>
  <sheetData>
    <row r="1" spans="1:11" s="9" customFormat="1" ht="12.75">
      <c r="G1" s="10"/>
      <c r="H1" s="10"/>
      <c r="I1" s="10"/>
      <c r="J1" s="10"/>
      <c r="K1" s="11"/>
    </row>
    <row r="2" spans="1:11" s="9" customFormat="1" ht="12.75"/>
    <row r="3" spans="1:11" s="9" customFormat="1" ht="12.75"/>
    <row r="4" spans="1:11" s="9" customFormat="1" ht="12.75"/>
    <row r="5" spans="1:11" s="9" customFormat="1" ht="12.75"/>
    <row r="6" spans="1:11" s="9" customFormat="1" ht="12.75">
      <c r="G6" s="12"/>
      <c r="H6" s="12"/>
      <c r="I6" s="12"/>
      <c r="J6" s="12"/>
    </row>
    <row r="7" spans="1:11" s="9" customFormat="1" ht="12.75">
      <c r="A7" s="12"/>
      <c r="B7" s="13"/>
      <c r="C7" s="12"/>
      <c r="D7" s="12"/>
      <c r="E7" s="12"/>
      <c r="F7" s="12"/>
      <c r="G7" s="12"/>
      <c r="H7" s="12"/>
      <c r="I7" s="12"/>
      <c r="J7" s="12"/>
    </row>
    <row r="8" spans="1:11" s="9" customFormat="1" ht="12.75">
      <c r="A8" s="12"/>
      <c r="B8" s="12"/>
      <c r="C8" s="12"/>
      <c r="D8" s="12"/>
      <c r="E8" s="12"/>
      <c r="F8" s="12"/>
      <c r="G8" s="12"/>
      <c r="H8" s="12"/>
      <c r="I8" s="12"/>
      <c r="J8" s="12"/>
    </row>
    <row r="9" spans="1:11" s="9" customFormat="1" ht="12.75">
      <c r="A9" s="14"/>
    </row>
    <row r="10" spans="1:11" s="9" customFormat="1" ht="12.75">
      <c r="A10" s="14"/>
    </row>
    <row r="11" spans="1:11" s="9" customFormat="1" ht="12.75">
      <c r="A11" s="14"/>
    </row>
    <row r="12" spans="1:11" s="9" customFormat="1">
      <c r="A12" s="14"/>
      <c r="B12" s="161" t="s">
        <v>184</v>
      </c>
      <c r="C12" s="51" t="str">
        <f>IF(ISBLANK(VorgangsID),"",VorgangsID)</f>
        <v/>
      </c>
      <c r="D12" s="119" t="s">
        <v>64</v>
      </c>
      <c r="E12" s="51" t="str">
        <f>IF(ISBLANK(Country_AK_no),"",Country_AK_no)</f>
        <v/>
      </c>
      <c r="G12" s="162"/>
    </row>
    <row r="13" spans="1:11" s="9" customFormat="1" ht="12.75">
      <c r="A13" s="14"/>
    </row>
    <row r="14" spans="1:11" s="9" customFormat="1" ht="15">
      <c r="A14" s="14"/>
      <c r="B14" s="15" t="s">
        <v>105</v>
      </c>
    </row>
    <row r="16" spans="1:11" ht="15" thickBot="1">
      <c r="B16" s="17" t="s">
        <v>83</v>
      </c>
      <c r="C16" s="69"/>
    </row>
    <row r="17" spans="2:23" ht="16.5" thickBot="1">
      <c r="B17" s="17" t="s">
        <v>84</v>
      </c>
      <c r="C17" s="70"/>
      <c r="D17" s="30" t="s">
        <v>104</v>
      </c>
      <c r="E17" s="21"/>
      <c r="F17" s="21"/>
      <c r="K17" s="20"/>
    </row>
    <row r="18" spans="2:23" ht="15" thickBot="1">
      <c r="B18" s="17" t="s">
        <v>85</v>
      </c>
      <c r="C18" s="71"/>
      <c r="K18" s="137">
        <v>3</v>
      </c>
    </row>
    <row r="19" spans="2:23" ht="15" thickBot="1">
      <c r="B19" s="17" t="s">
        <v>86</v>
      </c>
      <c r="C19" s="71"/>
    </row>
    <row r="20" spans="2:23" ht="16.5" thickBot="1">
      <c r="B20" s="17" t="s">
        <v>32</v>
      </c>
      <c r="C20" s="71"/>
      <c r="D20" s="125" t="s">
        <v>158</v>
      </c>
      <c r="E20" s="21"/>
      <c r="F20" s="21"/>
      <c r="K20" s="137">
        <v>1</v>
      </c>
    </row>
    <row r="21" spans="2:23" ht="15" thickBot="1">
      <c r="B21" s="17" t="s">
        <v>87</v>
      </c>
      <c r="C21" s="71"/>
      <c r="K21" s="26"/>
    </row>
    <row r="22" spans="2:23" ht="16.5" thickBot="1">
      <c r="B22" s="17" t="s">
        <v>99</v>
      </c>
      <c r="C22" s="71">
        <v>1</v>
      </c>
      <c r="E22" s="18" t="str">
        <f>IF(MAX(Tabelle2[Instalment No.])&gt;Zahl_Raten,"Please check - too many instalments in the table!","")</f>
        <v/>
      </c>
      <c r="G22" s="28"/>
      <c r="H22" s="31" t="s">
        <v>66</v>
      </c>
      <c r="I22" s="28"/>
      <c r="J22" s="28"/>
      <c r="K22" s="33"/>
      <c r="L22" s="33"/>
      <c r="M22" s="33"/>
      <c r="N22" s="33"/>
      <c r="O22" s="33"/>
    </row>
    <row r="23" spans="2:23" ht="15" thickBot="1">
      <c r="B23" s="22" t="s">
        <v>137</v>
      </c>
      <c r="C23" s="111"/>
      <c r="E23" s="18" t="str">
        <f>IF(MAX(Tabelle2[Instalment No.])&lt;Zahl_Raten,"Please check -not enough instalments in the table!","")</f>
        <v/>
      </c>
      <c r="F23" s="28"/>
      <c r="G23" s="28"/>
      <c r="H23" s="114" t="s">
        <v>61</v>
      </c>
      <c r="I23" s="117"/>
      <c r="J23" s="28"/>
    </row>
    <row r="24" spans="2:23" ht="15" thickBot="1">
      <c r="B24" s="22" t="s">
        <v>100</v>
      </c>
      <c r="C24" s="45" t="str">
        <f>IF((ISBLANK(Haftung)),"",100%-SB)</f>
        <v/>
      </c>
      <c r="D24" s="27"/>
      <c r="E24" s="28"/>
      <c r="F24" s="28"/>
      <c r="G24" s="28"/>
      <c r="H24" s="88" t="s">
        <v>65</v>
      </c>
      <c r="I24" s="118"/>
      <c r="J24" s="28"/>
    </row>
    <row r="25" spans="2:23" ht="15" thickBot="1">
      <c r="B25" s="17" t="s">
        <v>101</v>
      </c>
      <c r="C25" s="41" t="str">
        <f>IF((ISBLANK(Währung)),"",Währung)</f>
        <v/>
      </c>
      <c r="D25" s="42">
        <f>Kap_ged</f>
        <v>0</v>
      </c>
      <c r="F25" s="19">
        <f>ROUND(Kap_ausgez/Zahl_Raten,2)</f>
        <v>0</v>
      </c>
    </row>
    <row r="26" spans="2:23" ht="15" thickBot="1">
      <c r="B26" s="22" t="s">
        <v>102</v>
      </c>
      <c r="C26" s="41" t="str">
        <f>IF((ISBLANK(Währung)),"",Währung)</f>
        <v/>
      </c>
      <c r="D26" s="43">
        <f>Tabelle1[[#Totals],[Disbursement amount]]</f>
        <v>0</v>
      </c>
    </row>
    <row r="27" spans="2:23" ht="15" thickBot="1">
      <c r="B27" s="17" t="s">
        <v>103</v>
      </c>
      <c r="C27" s="41" t="str">
        <f>IF((ISBLANK(Währung)),"",Währung)</f>
        <v/>
      </c>
      <c r="D27" s="44">
        <f>Zins_ged</f>
        <v>0</v>
      </c>
    </row>
    <row r="28" spans="2:23">
      <c r="B28" s="22"/>
      <c r="C28" s="25"/>
    </row>
    <row r="29" spans="2:23">
      <c r="R29" s="169">
        <v>1</v>
      </c>
      <c r="S29" s="169">
        <v>2</v>
      </c>
      <c r="T29" s="169">
        <v>3</v>
      </c>
      <c r="U29" s="169">
        <v>1</v>
      </c>
      <c r="V29" s="169">
        <v>2</v>
      </c>
      <c r="W29" s="169">
        <v>3</v>
      </c>
    </row>
    <row r="30" spans="2:23" s="29" customFormat="1" ht="48.75" customHeight="1">
      <c r="B30" s="81" t="s">
        <v>23</v>
      </c>
      <c r="C30" s="80" t="s">
        <v>106</v>
      </c>
      <c r="D30" s="80" t="s">
        <v>107</v>
      </c>
      <c r="E30" s="80" t="s">
        <v>50</v>
      </c>
      <c r="F30" s="80" t="s">
        <v>108</v>
      </c>
      <c r="G30" s="80" t="s">
        <v>109</v>
      </c>
      <c r="H30" s="80" t="s">
        <v>110</v>
      </c>
      <c r="I30" s="80" t="s">
        <v>28</v>
      </c>
      <c r="J30" s="80" t="s">
        <v>111</v>
      </c>
      <c r="K30" s="80" t="s">
        <v>112</v>
      </c>
      <c r="L30" s="80" t="s">
        <v>113</v>
      </c>
      <c r="M30" s="80" t="s">
        <v>114</v>
      </c>
      <c r="N30" s="80" t="s">
        <v>115</v>
      </c>
      <c r="O30" s="50" t="s">
        <v>116</v>
      </c>
      <c r="P30" s="50" t="s">
        <v>117</v>
      </c>
      <c r="Q30" s="50"/>
      <c r="R30" s="50" t="s">
        <v>177</v>
      </c>
      <c r="S30" s="50" t="s">
        <v>176</v>
      </c>
      <c r="T30" s="50" t="s">
        <v>179</v>
      </c>
      <c r="U30" s="50" t="s">
        <v>180</v>
      </c>
      <c r="V30" s="50" t="s">
        <v>181</v>
      </c>
      <c r="W30" s="50" t="s">
        <v>182</v>
      </c>
    </row>
    <row r="31" spans="2:23" ht="24" customHeight="1">
      <c r="B31" s="72"/>
      <c r="C31" s="138">
        <f>Tilgungsbeginn</f>
        <v>0</v>
      </c>
      <c r="D31" s="54">
        <f>IF(ISBLANK(Tabelle2[[#This Row],[Due Date]]),"",1)</f>
        <v>1</v>
      </c>
      <c r="E31" s="55">
        <f>IF(ISBLANK(Tabelle2[[#This Row],[Due Date]]),"",Währung)</f>
        <v>0</v>
      </c>
      <c r="F31" s="56">
        <f>Kap_ausgez</f>
        <v>0</v>
      </c>
      <c r="G31" s="56">
        <f t="shared" ref="G31:G61" si="0">IFERROR(IF((Restkapital-Kapitalrate)&gt;100,Kapitalrate,Kapitalrate+(Restkapital-Kapitalrate)),"")</f>
        <v>0</v>
      </c>
      <c r="H31" s="73"/>
      <c r="I31" s="74"/>
      <c r="J31" s="59" t="str">
        <f>IF(ISBLANK(Tabelle2[[#This Row],[Euribor/ Libor]]),"",IF(Zerofloor=1,IF(Satz&lt;0,0+Marge,Satz+Marge),Satz+Marge))</f>
        <v/>
      </c>
      <c r="K31" s="58">
        <f>IF(Zinsmethode=1,Tabelle3[[#This Row],[Interest act/360]],IF(Zinsmethode=2,Tabelle3[[#This Row],[Interest act/365]],IF(Zinsmethode=3,Tabelle3[[#This Row],[Interest 30/360]],"")))</f>
        <v>0</v>
      </c>
      <c r="L31" s="73"/>
      <c r="M31" s="72"/>
      <c r="N31" s="58" t="str">
        <f>IF(Tabelle2[[#This Row],[Status]]="Entschädigung beantragt",(Tabelle2[[#This Row],[Instalment]]-Tabelle2[[#This Row],[(partially) paid amount]])+(Tabelle2[[#This Row],[interest amount]]-Tabelle2[[#This Row],[(partially) paid interst amount]]),"")</f>
        <v/>
      </c>
      <c r="O31" s="58" t="str">
        <f>IFERROR(ROUND(SB_Betrag*Tabelle2[[#This Row],[Residue after deduction]],2),"")</f>
        <v/>
      </c>
      <c r="P31" s="58" t="str">
        <f>IFERROR(Tabelle2[[#This Row],[Residue after deduction]]-Tabelle2[[#This Row],[Retention amount]],"")</f>
        <v/>
      </c>
      <c r="R31" s="164"/>
      <c r="S31" s="164"/>
      <c r="T31" s="164"/>
      <c r="U31" s="35">
        <f>Vorlaufzinsen</f>
        <v>0</v>
      </c>
      <c r="V31" s="35">
        <f>Vorlaufzinsen</f>
        <v>0</v>
      </c>
      <c r="W31" s="35">
        <f>Vorlaufzinsen</f>
        <v>0</v>
      </c>
    </row>
    <row r="32" spans="2:23" ht="24" customHeight="1">
      <c r="B32" s="72"/>
      <c r="C32" s="72"/>
      <c r="D32" s="54"/>
      <c r="E32" s="55" t="str">
        <f>IF(ISBLANK(Tabelle2[[#This Row],[Due Date]]),"",Währung)</f>
        <v/>
      </c>
      <c r="F32" s="56">
        <f>IFERROR(ROUND(F31-G31,2)*AND(F31&gt;G31),"")</f>
        <v>0</v>
      </c>
      <c r="G32" s="56">
        <f t="shared" si="0"/>
        <v>0</v>
      </c>
      <c r="H32" s="73"/>
      <c r="I32" s="74"/>
      <c r="J32" s="59" t="str">
        <f>IF(ISBLANK(Tabelle2[[#This Row],[Euribor/ Libor]]),"",IF(Zerofloor=1,IF(Satz&lt;0,0+Marge,Satz+Marge),Satz+Marge))</f>
        <v/>
      </c>
      <c r="K32" s="58" t="str">
        <f>IF(Zinsmethode=1,Tabelle3[[#This Row],[Interest act/360]],IF(Zinsmethode=2,Tabelle3[[#This Row],[Interest act/365]],IF(Zinsmethode=3,Tabelle3[[#This Row],[Interest 30/360]],"")))</f>
        <v/>
      </c>
      <c r="L32" s="73"/>
      <c r="M32" s="72"/>
      <c r="N32" s="58" t="str">
        <f>IF(Tabelle2[[#This Row],[Status]]="Entschädigung beantragt",Tabelle2[[#This Row],[Instalment]]-Tabelle2[[#This Row],[(partially) paid amount]]+Tabelle2[[#This Row],[interest amount]]-Tabelle2[[#This Row],[(partially) paid interst amount]],"")</f>
        <v/>
      </c>
      <c r="O32" s="58" t="str">
        <f>IFERROR(ROUND(SB_Betrag*Tabelle2[[#This Row],[Residue after deduction]],2),"")</f>
        <v/>
      </c>
      <c r="P32" s="58" t="str">
        <f>IFERROR(Tabelle2[[#This Row],[Residue after deduction]]-Tabelle2[[#This Row],[Retention amount]],"")</f>
        <v/>
      </c>
      <c r="R32" s="164">
        <f>Tabelle2[[#This Row],[Due Date]]-C31</f>
        <v>0</v>
      </c>
      <c r="S32" s="164">
        <f>Tabelle2[[#This Row],[Due Date]]-C31</f>
        <v>0</v>
      </c>
      <c r="T32" s="164">
        <f>DAYS360(C31,Tabelle2[[#This Row],[Due Date]],TRUE)</f>
        <v>0</v>
      </c>
      <c r="U32" s="35" t="str">
        <f>IFERROR(ROUND(Tabelle2[[#This Row],[Remaining Capital]]*Tabelle2[[#This Row],[interest rate]]*Tabelle3[[#This Row],[Days act/360]]/360,2),"")</f>
        <v/>
      </c>
      <c r="V32" s="35" t="str">
        <f>IFERROR(ROUND(Tabelle2[[#This Row],[Remaining Capital]]*Tabelle2[[#This Row],[interest rate]]*Tabelle3[[#This Row],[Days act/365]]/365,2),"")</f>
        <v/>
      </c>
      <c r="W32" s="35" t="str">
        <f>IFERROR(ROUND(Tabelle2[[#This Row],[Remaining Capital]]*Tabelle2[[#This Row],[interest rate]]*Tabelle3[[#This Row],[Days 30/360]]/360,2),"")</f>
        <v/>
      </c>
    </row>
    <row r="33" spans="2:23" ht="24" customHeight="1">
      <c r="B33" s="72"/>
      <c r="C33" s="72"/>
      <c r="D33" s="54" t="str">
        <f t="shared" ref="D33:D61" si="1">IF(ISBLANK(Fälligkeit),"",D32+1)</f>
        <v/>
      </c>
      <c r="E33" s="55" t="str">
        <f>IF(ISBLANK(Tabelle2[[#This Row],[Due Date]]),"",Währung)</f>
        <v/>
      </c>
      <c r="F33" s="56">
        <f t="shared" ref="F33:F59" si="2">IFERROR(ROUND(F32-G32,2)*AND(F32&gt;G32),"")</f>
        <v>0</v>
      </c>
      <c r="G33" s="56">
        <f t="shared" si="0"/>
        <v>0</v>
      </c>
      <c r="H33" s="73"/>
      <c r="I33" s="74"/>
      <c r="J33" s="59" t="str">
        <f>IF(ISBLANK(Tabelle2[[#This Row],[Euribor/ Libor]]),"",IF(Zerofloor=1,IF(Satz&lt;0,0+Marge,Satz+Marge),Satz+Marge))</f>
        <v/>
      </c>
      <c r="K33" s="58" t="str">
        <f>IF(Zinsmethode=1,Tabelle3[[#This Row],[Interest act/360]],IF(Zinsmethode=2,Tabelle3[[#This Row],[Interest act/365]],IF(Zinsmethode=3,Tabelle3[[#This Row],[Interest 30/360]],"")))</f>
        <v/>
      </c>
      <c r="L33" s="73"/>
      <c r="M33" s="72"/>
      <c r="N33" s="58" t="str">
        <f>IF(Tabelle2[[#This Row],[Status]]="Entschädigung beantragt",Tabelle2[[#This Row],[Instalment]]-Tabelle2[[#This Row],[(partially) paid amount]]+Tabelle2[[#This Row],[interest amount]]-Tabelle2[[#This Row],[(partially) paid interst amount]],"")</f>
        <v/>
      </c>
      <c r="O33" s="58" t="str">
        <f>IFERROR(ROUND(SB_Betrag*Tabelle2[[#This Row],[Residue after deduction]],2),"")</f>
        <v/>
      </c>
      <c r="P33" s="58" t="str">
        <f>IFERROR(Tabelle2[[#This Row],[Residue after deduction]]-Tabelle2[[#This Row],[Retention amount]],"")</f>
        <v/>
      </c>
      <c r="R33" s="164">
        <f>Tabelle2[[#This Row],[Due Date]]-C32</f>
        <v>0</v>
      </c>
      <c r="S33" s="164">
        <f>Tabelle2[[#This Row],[Due Date]]-C32</f>
        <v>0</v>
      </c>
      <c r="T33" s="164">
        <f>DAYS360(C32,Tabelle2[[#This Row],[Due Date]],TRUE)</f>
        <v>0</v>
      </c>
      <c r="U33" s="35" t="str">
        <f>IFERROR(ROUND(Tabelle2[[#This Row],[Remaining Capital]]*Tabelle2[[#This Row],[interest rate]]*Tabelle3[[#This Row],[Days act/360]]/360,2),"")</f>
        <v/>
      </c>
      <c r="V33" s="35" t="str">
        <f>IFERROR(ROUND(Tabelle2[[#This Row],[Remaining Capital]]*Tabelle2[[#This Row],[interest rate]]*Tabelle3[[#This Row],[Days act/365]]/365,2),"")</f>
        <v/>
      </c>
      <c r="W33" s="35" t="str">
        <f>IFERROR(ROUND(Tabelle2[[#This Row],[Remaining Capital]]*Tabelle2[[#This Row],[interest rate]]*Tabelle3[[#This Row],[Days 30/360]]/360,2),"")</f>
        <v/>
      </c>
    </row>
    <row r="34" spans="2:23" ht="24" customHeight="1">
      <c r="B34" s="72"/>
      <c r="C34" s="72"/>
      <c r="D34" s="54" t="str">
        <f t="shared" si="1"/>
        <v/>
      </c>
      <c r="E34" s="55" t="str">
        <f>IF(ISBLANK(Tabelle2[[#This Row],[Due Date]]),"",Währung)</f>
        <v/>
      </c>
      <c r="F34" s="56">
        <f t="shared" si="2"/>
        <v>0</v>
      </c>
      <c r="G34" s="56">
        <f t="shared" si="0"/>
        <v>0</v>
      </c>
      <c r="H34" s="73"/>
      <c r="I34" s="74"/>
      <c r="J34" s="59" t="str">
        <f>IF(ISBLANK(Tabelle2[[#This Row],[Euribor/ Libor]]),"",IF(Zerofloor=1,IF(Satz&lt;0,0+Marge,Satz+Marge),Satz+Marge))</f>
        <v/>
      </c>
      <c r="K34" s="58" t="str">
        <f>IF(Zinsmethode=1,Tabelle3[[#This Row],[Interest act/360]],IF(Zinsmethode=2,Tabelle3[[#This Row],[Interest act/365]],IF(Zinsmethode=3,Tabelle3[[#This Row],[Interest 30/360]],"")))</f>
        <v/>
      </c>
      <c r="L34" s="73"/>
      <c r="M34" s="72"/>
      <c r="N34" s="58" t="str">
        <f>IF(Tabelle2[[#This Row],[Status]]="Entschädigung beantragt",Tabelle2[[#This Row],[Instalment]]-Tabelle2[[#This Row],[(partially) paid amount]]+Tabelle2[[#This Row],[interest amount]]-Tabelle2[[#This Row],[(partially) paid interst amount]],"")</f>
        <v/>
      </c>
      <c r="O34" s="58" t="str">
        <f>IFERROR(ROUND(SB_Betrag*Tabelle2[[#This Row],[Residue after deduction]],2),"")</f>
        <v/>
      </c>
      <c r="P34" s="58" t="str">
        <f>IFERROR(Tabelle2[[#This Row],[Residue after deduction]]-Tabelle2[[#This Row],[Retention amount]],"")</f>
        <v/>
      </c>
      <c r="R34" s="164">
        <f>Tabelle2[[#This Row],[Due Date]]-C33</f>
        <v>0</v>
      </c>
      <c r="S34" s="164">
        <f>Tabelle2[[#This Row],[Due Date]]-C33</f>
        <v>0</v>
      </c>
      <c r="T34" s="164">
        <f>DAYS360(C33,Tabelle2[[#This Row],[Due Date]],TRUE)</f>
        <v>0</v>
      </c>
      <c r="U34" s="35" t="str">
        <f>IFERROR(ROUND(Tabelle2[[#This Row],[Remaining Capital]]*Tabelle2[[#This Row],[interest rate]]*Tabelle3[[#This Row],[Days act/360]]/360,2),"")</f>
        <v/>
      </c>
      <c r="V34" s="35" t="str">
        <f>IFERROR(ROUND(Tabelle2[[#This Row],[Remaining Capital]]*Tabelle2[[#This Row],[interest rate]]*Tabelle3[[#This Row],[Days act/365]]/365,2),"")</f>
        <v/>
      </c>
      <c r="W34" s="35" t="str">
        <f>IFERROR(ROUND(Tabelle2[[#This Row],[Remaining Capital]]*Tabelle2[[#This Row],[interest rate]]*Tabelle3[[#This Row],[Days 30/360]]/360,2),"")</f>
        <v/>
      </c>
    </row>
    <row r="35" spans="2:23" ht="24" customHeight="1">
      <c r="B35" s="72"/>
      <c r="C35" s="72"/>
      <c r="D35" s="54" t="str">
        <f t="shared" si="1"/>
        <v/>
      </c>
      <c r="E35" s="55" t="str">
        <f>IF(ISBLANK(Tabelle2[[#This Row],[Due Date]]),"",Währung)</f>
        <v/>
      </c>
      <c r="F35" s="56">
        <f t="shared" si="2"/>
        <v>0</v>
      </c>
      <c r="G35" s="56">
        <f t="shared" si="0"/>
        <v>0</v>
      </c>
      <c r="H35" s="73"/>
      <c r="I35" s="74"/>
      <c r="J35" s="59" t="str">
        <f>IF(ISBLANK(Tabelle2[[#This Row],[Euribor/ Libor]]),"",IF(Zerofloor=1,IF(Satz&lt;0,0+Marge,Satz+Marge),Satz+Marge))</f>
        <v/>
      </c>
      <c r="K35" s="58" t="str">
        <f>IF(Zinsmethode=1,Tabelle3[[#This Row],[Interest act/360]],IF(Zinsmethode=2,Tabelle3[[#This Row],[Interest act/365]],IF(Zinsmethode=3,Tabelle3[[#This Row],[Interest 30/360]],"")))</f>
        <v/>
      </c>
      <c r="L35" s="73"/>
      <c r="M35" s="72"/>
      <c r="N35" s="58" t="str">
        <f>IF(Tabelle2[[#This Row],[Status]]="Entschädigung beantragt",Tabelle2[[#This Row],[Instalment]]-Tabelle2[[#This Row],[(partially) paid amount]]+Tabelle2[[#This Row],[interest amount]]-Tabelle2[[#This Row],[(partially) paid interst amount]],"")</f>
        <v/>
      </c>
      <c r="O35" s="58" t="str">
        <f>IFERROR(ROUND(SB_Betrag*Tabelle2[[#This Row],[Residue after deduction]],2),"")</f>
        <v/>
      </c>
      <c r="P35" s="58" t="str">
        <f>IFERROR(Tabelle2[[#This Row],[Residue after deduction]]-Tabelle2[[#This Row],[Retention amount]],"")</f>
        <v/>
      </c>
      <c r="R35" s="164">
        <f>Tabelle2[[#This Row],[Due Date]]-C34</f>
        <v>0</v>
      </c>
      <c r="S35" s="164">
        <f>Tabelle2[[#This Row],[Due Date]]-C34</f>
        <v>0</v>
      </c>
      <c r="T35" s="164">
        <f>DAYS360(C34,Tabelle2[[#This Row],[Due Date]],TRUE)</f>
        <v>0</v>
      </c>
      <c r="U35" s="35" t="str">
        <f>IFERROR(ROUND(Tabelle2[[#This Row],[Remaining Capital]]*Tabelle2[[#This Row],[interest rate]]*Tabelle3[[#This Row],[Days act/360]]/360,2),"")</f>
        <v/>
      </c>
      <c r="V35" s="35" t="str">
        <f>IFERROR(ROUND(Tabelle2[[#This Row],[Remaining Capital]]*Tabelle2[[#This Row],[interest rate]]*Tabelle3[[#This Row],[Days act/365]]/365,2),"")</f>
        <v/>
      </c>
      <c r="W35" s="35" t="str">
        <f>IFERROR(ROUND(Tabelle2[[#This Row],[Remaining Capital]]*Tabelle2[[#This Row],[interest rate]]*Tabelle3[[#This Row],[Days 30/360]]/360,2),"")</f>
        <v/>
      </c>
    </row>
    <row r="36" spans="2:23" ht="24" customHeight="1">
      <c r="B36" s="72"/>
      <c r="C36" s="72"/>
      <c r="D36" s="54" t="str">
        <f t="shared" si="1"/>
        <v/>
      </c>
      <c r="E36" s="55" t="str">
        <f>IF(ISBLANK(Tabelle2[[#This Row],[Due Date]]),"",Währung)</f>
        <v/>
      </c>
      <c r="F36" s="56">
        <f t="shared" si="2"/>
        <v>0</v>
      </c>
      <c r="G36" s="56">
        <f t="shared" si="0"/>
        <v>0</v>
      </c>
      <c r="H36" s="73"/>
      <c r="I36" s="74"/>
      <c r="J36" s="59" t="str">
        <f>IF(ISBLANK(Tabelle2[[#This Row],[Euribor/ Libor]]),"",IF(Zerofloor=1,IF(Satz&lt;0,0+Marge,Satz+Marge),Satz+Marge))</f>
        <v/>
      </c>
      <c r="K36" s="58" t="str">
        <f>IF(Zinsmethode=1,Tabelle3[[#This Row],[Interest act/360]],IF(Zinsmethode=2,Tabelle3[[#This Row],[Interest act/365]],IF(Zinsmethode=3,Tabelle3[[#This Row],[Interest 30/360]],"")))</f>
        <v/>
      </c>
      <c r="L36" s="73"/>
      <c r="M36" s="72"/>
      <c r="N36" s="58" t="str">
        <f>IF(Tabelle2[[#This Row],[Status]]="Entschädigung beantragt",Tabelle2[[#This Row],[Instalment]]-Tabelle2[[#This Row],[(partially) paid amount]]+Tabelle2[[#This Row],[interest amount]]-Tabelle2[[#This Row],[(partially) paid interst amount]],"")</f>
        <v/>
      </c>
      <c r="O36" s="58" t="str">
        <f>IFERROR(ROUND(SB_Betrag*Tabelle2[[#This Row],[Residue after deduction]],2),"")</f>
        <v/>
      </c>
      <c r="P36" s="58" t="str">
        <f>IFERROR(Tabelle2[[#This Row],[Residue after deduction]]-Tabelle2[[#This Row],[Retention amount]],"")</f>
        <v/>
      </c>
      <c r="R36" s="164">
        <f>Tabelle2[[#This Row],[Due Date]]-C35</f>
        <v>0</v>
      </c>
      <c r="S36" s="164">
        <f>Tabelle2[[#This Row],[Due Date]]-C35</f>
        <v>0</v>
      </c>
      <c r="T36" s="164">
        <f>DAYS360(C35,Tabelle2[[#This Row],[Due Date]],TRUE)</f>
        <v>0</v>
      </c>
      <c r="U36" s="35" t="str">
        <f>IFERROR(ROUND(Tabelle2[[#This Row],[Remaining Capital]]*Tabelle2[[#This Row],[interest rate]]*Tabelle3[[#This Row],[Days act/360]]/360,2),"")</f>
        <v/>
      </c>
      <c r="V36" s="35" t="str">
        <f>IFERROR(ROUND(Tabelle2[[#This Row],[Remaining Capital]]*Tabelle2[[#This Row],[interest rate]]*Tabelle3[[#This Row],[Days act/365]]/365,2),"")</f>
        <v/>
      </c>
      <c r="W36" s="35" t="str">
        <f>IFERROR(ROUND(Tabelle2[[#This Row],[Remaining Capital]]*Tabelle2[[#This Row],[interest rate]]*Tabelle3[[#This Row],[Days 30/360]]/360,2),"")</f>
        <v/>
      </c>
    </row>
    <row r="37" spans="2:23" ht="24" customHeight="1">
      <c r="B37" s="72"/>
      <c r="C37" s="72"/>
      <c r="D37" s="54" t="str">
        <f t="shared" si="1"/>
        <v/>
      </c>
      <c r="E37" s="55" t="str">
        <f>IF(ISBLANK(Tabelle2[[#This Row],[Due Date]]),"",Währung)</f>
        <v/>
      </c>
      <c r="F37" s="56">
        <f t="shared" si="2"/>
        <v>0</v>
      </c>
      <c r="G37" s="56">
        <f t="shared" si="0"/>
        <v>0</v>
      </c>
      <c r="H37" s="73"/>
      <c r="I37" s="74"/>
      <c r="J37" s="59" t="str">
        <f>IF(ISBLANK(Tabelle2[[#This Row],[Euribor/ Libor]]),"",IF(Zerofloor=1,IF(Satz&lt;0,0+Marge,Satz+Marge),Satz+Marge))</f>
        <v/>
      </c>
      <c r="K37" s="58" t="str">
        <f>IF(Zinsmethode=1,Tabelle3[[#This Row],[Interest act/360]],IF(Zinsmethode=2,Tabelle3[[#This Row],[Interest act/365]],IF(Zinsmethode=3,Tabelle3[[#This Row],[Interest 30/360]],"")))</f>
        <v/>
      </c>
      <c r="L37" s="73"/>
      <c r="M37" s="72"/>
      <c r="N37" s="58" t="str">
        <f>IF(Tabelle2[[#This Row],[Status]]="Entschädigung beantragt",Tabelle2[[#This Row],[Instalment]]-Tabelle2[[#This Row],[(partially) paid amount]]+Tabelle2[[#This Row],[interest amount]]-Tabelle2[[#This Row],[(partially) paid interst amount]],"")</f>
        <v/>
      </c>
      <c r="O37" s="58" t="str">
        <f>IFERROR(ROUND(SB_Betrag*Tabelle2[[#This Row],[Residue after deduction]],2),"")</f>
        <v/>
      </c>
      <c r="P37" s="58" t="str">
        <f>IFERROR(Tabelle2[[#This Row],[Residue after deduction]]-Tabelle2[[#This Row],[Retention amount]],"")</f>
        <v/>
      </c>
      <c r="R37" s="164">
        <f>Tabelle2[[#This Row],[Due Date]]-C36</f>
        <v>0</v>
      </c>
      <c r="S37" s="164">
        <f>Tabelle2[[#This Row],[Due Date]]-C36</f>
        <v>0</v>
      </c>
      <c r="T37" s="164">
        <f>DAYS360(C36,Tabelle2[[#This Row],[Due Date]],TRUE)</f>
        <v>0</v>
      </c>
      <c r="U37" s="35" t="str">
        <f>IFERROR(ROUND(Tabelle2[[#This Row],[Remaining Capital]]*Tabelle2[[#This Row],[interest rate]]*Tabelle3[[#This Row],[Days act/360]]/360,2),"")</f>
        <v/>
      </c>
      <c r="V37" s="35" t="str">
        <f>IFERROR(ROUND(Tabelle2[[#This Row],[Remaining Capital]]*Tabelle2[[#This Row],[interest rate]]*Tabelle3[[#This Row],[Days act/365]]/365,2),"")</f>
        <v/>
      </c>
      <c r="W37" s="35" t="str">
        <f>IFERROR(ROUND(Tabelle2[[#This Row],[Remaining Capital]]*Tabelle2[[#This Row],[interest rate]]*Tabelle3[[#This Row],[Days 30/360]]/360,2),"")</f>
        <v/>
      </c>
    </row>
    <row r="38" spans="2:23" ht="24" customHeight="1">
      <c r="B38" s="72"/>
      <c r="C38" s="72"/>
      <c r="D38" s="54" t="str">
        <f t="shared" si="1"/>
        <v/>
      </c>
      <c r="E38" s="55" t="str">
        <f>IF(ISBLANK(Tabelle2[[#This Row],[Due Date]]),"",Währung)</f>
        <v/>
      </c>
      <c r="F38" s="56">
        <f t="shared" si="2"/>
        <v>0</v>
      </c>
      <c r="G38" s="56">
        <f t="shared" si="0"/>
        <v>0</v>
      </c>
      <c r="H38" s="73"/>
      <c r="I38" s="74"/>
      <c r="J38" s="59" t="str">
        <f>IF(ISBLANK(Tabelle2[[#This Row],[Euribor/ Libor]]),"",IF(Zerofloor=1,IF(Satz&lt;0,0+Marge,Satz+Marge),Satz+Marge))</f>
        <v/>
      </c>
      <c r="K38" s="58" t="str">
        <f>IF(Zinsmethode=1,Tabelle3[[#This Row],[Interest act/360]],IF(Zinsmethode=2,Tabelle3[[#This Row],[Interest act/365]],IF(Zinsmethode=3,Tabelle3[[#This Row],[Interest 30/360]],"")))</f>
        <v/>
      </c>
      <c r="L38" s="73"/>
      <c r="M38" s="72"/>
      <c r="N38" s="58" t="str">
        <f>IF(Tabelle2[[#This Row],[Status]]="Entschädigung beantragt",Tabelle2[[#This Row],[Instalment]]-Tabelle2[[#This Row],[(partially) paid amount]]+Tabelle2[[#This Row],[interest amount]]-Tabelle2[[#This Row],[(partially) paid interst amount]],"")</f>
        <v/>
      </c>
      <c r="O38" s="58" t="str">
        <f>IFERROR(ROUND(SB_Betrag*Tabelle2[[#This Row],[Residue after deduction]],2),"")</f>
        <v/>
      </c>
      <c r="P38" s="58" t="str">
        <f>IFERROR(Tabelle2[[#This Row],[Residue after deduction]]-Tabelle2[[#This Row],[Retention amount]],"")</f>
        <v/>
      </c>
      <c r="R38" s="164">
        <f>Tabelle2[[#This Row],[Due Date]]-C37</f>
        <v>0</v>
      </c>
      <c r="S38" s="164">
        <f>Tabelle2[[#This Row],[Due Date]]-C37</f>
        <v>0</v>
      </c>
      <c r="T38" s="164">
        <f>DAYS360(C37,Tabelle2[[#This Row],[Due Date]],TRUE)</f>
        <v>0</v>
      </c>
      <c r="U38" s="35" t="str">
        <f>IFERROR(ROUND(Tabelle2[[#This Row],[Remaining Capital]]*Tabelle2[[#This Row],[interest rate]]*Tabelle3[[#This Row],[Days act/360]]/360,2),"")</f>
        <v/>
      </c>
      <c r="V38" s="35" t="str">
        <f>IFERROR(ROUND(Tabelle2[[#This Row],[Remaining Capital]]*Tabelle2[[#This Row],[interest rate]]*Tabelle3[[#This Row],[Days act/365]]/365,2),"")</f>
        <v/>
      </c>
      <c r="W38" s="35" t="str">
        <f>IFERROR(ROUND(Tabelle2[[#This Row],[Remaining Capital]]*Tabelle2[[#This Row],[interest rate]]*Tabelle3[[#This Row],[Days 30/360]]/360,2),"")</f>
        <v/>
      </c>
    </row>
    <row r="39" spans="2:23" ht="24" customHeight="1">
      <c r="B39" s="72"/>
      <c r="C39" s="72"/>
      <c r="D39" s="54" t="str">
        <f t="shared" si="1"/>
        <v/>
      </c>
      <c r="E39" s="55" t="str">
        <f>IF(ISBLANK(Tabelle2[[#This Row],[Due Date]]),"",Währung)</f>
        <v/>
      </c>
      <c r="F39" s="56">
        <f t="shared" si="2"/>
        <v>0</v>
      </c>
      <c r="G39" s="56">
        <f t="shared" si="0"/>
        <v>0</v>
      </c>
      <c r="H39" s="73"/>
      <c r="I39" s="74"/>
      <c r="J39" s="59" t="str">
        <f>IF(ISBLANK(Tabelle2[[#This Row],[Euribor/ Libor]]),"",IF(Zerofloor=1,IF(Satz&lt;0,0+Marge,Satz+Marge),Satz+Marge))</f>
        <v/>
      </c>
      <c r="K39" s="58" t="str">
        <f>IF(Zinsmethode=1,Tabelle3[[#This Row],[Interest act/360]],IF(Zinsmethode=2,Tabelle3[[#This Row],[Interest act/365]],IF(Zinsmethode=3,Tabelle3[[#This Row],[Interest 30/360]],"")))</f>
        <v/>
      </c>
      <c r="L39" s="73"/>
      <c r="M39" s="72"/>
      <c r="N39" s="58" t="str">
        <f>IF(Tabelle2[[#This Row],[Status]]="Entschädigung beantragt",Tabelle2[[#This Row],[Instalment]]-Tabelle2[[#This Row],[(partially) paid amount]]+Tabelle2[[#This Row],[interest amount]]-Tabelle2[[#This Row],[(partially) paid interst amount]],"")</f>
        <v/>
      </c>
      <c r="O39" s="58" t="str">
        <f>IFERROR(ROUND(SB_Betrag*Tabelle2[[#This Row],[Residue after deduction]],2),"")</f>
        <v/>
      </c>
      <c r="P39" s="58" t="str">
        <f>IFERROR(Tabelle2[[#This Row],[Residue after deduction]]-Tabelle2[[#This Row],[Retention amount]],"")</f>
        <v/>
      </c>
      <c r="R39" s="164">
        <f>Tabelle2[[#This Row],[Due Date]]-C38</f>
        <v>0</v>
      </c>
      <c r="S39" s="164">
        <f>Tabelle2[[#This Row],[Due Date]]-C38</f>
        <v>0</v>
      </c>
      <c r="T39" s="164">
        <f>DAYS360(C38,Tabelle2[[#This Row],[Due Date]],TRUE)</f>
        <v>0</v>
      </c>
      <c r="U39" s="35" t="str">
        <f>IFERROR(ROUND(Tabelle2[[#This Row],[Remaining Capital]]*Tabelle2[[#This Row],[interest rate]]*Tabelle3[[#This Row],[Days act/360]]/360,2),"")</f>
        <v/>
      </c>
      <c r="V39" s="35" t="str">
        <f>IFERROR(ROUND(Tabelle2[[#This Row],[Remaining Capital]]*Tabelle2[[#This Row],[interest rate]]*Tabelle3[[#This Row],[Days act/365]]/365,2),"")</f>
        <v/>
      </c>
      <c r="W39" s="35" t="str">
        <f>IFERROR(ROUND(Tabelle2[[#This Row],[Remaining Capital]]*Tabelle2[[#This Row],[interest rate]]*Tabelle3[[#This Row],[Days 30/360]]/360,2),"")</f>
        <v/>
      </c>
    </row>
    <row r="40" spans="2:23" ht="24" customHeight="1">
      <c r="B40" s="72"/>
      <c r="C40" s="72"/>
      <c r="D40" s="54" t="str">
        <f t="shared" si="1"/>
        <v/>
      </c>
      <c r="E40" s="55" t="str">
        <f>IF(ISBLANK(Tabelle2[[#This Row],[Due Date]]),"",Währung)</f>
        <v/>
      </c>
      <c r="F40" s="56">
        <f t="shared" si="2"/>
        <v>0</v>
      </c>
      <c r="G40" s="56">
        <f t="shared" si="0"/>
        <v>0</v>
      </c>
      <c r="H40" s="73"/>
      <c r="I40" s="74"/>
      <c r="J40" s="59" t="str">
        <f>IF(ISBLANK(Tabelle2[[#This Row],[Euribor/ Libor]]),"",IF(Zerofloor=1,IF(Satz&lt;0,0+Marge,Satz+Marge),Satz+Marge))</f>
        <v/>
      </c>
      <c r="K40" s="58" t="str">
        <f>IF(Zinsmethode=1,Tabelle3[[#This Row],[Interest act/360]],IF(Zinsmethode=2,Tabelle3[[#This Row],[Interest act/365]],IF(Zinsmethode=3,Tabelle3[[#This Row],[Interest 30/360]],"")))</f>
        <v/>
      </c>
      <c r="L40" s="73"/>
      <c r="M40" s="72"/>
      <c r="N40" s="58" t="str">
        <f>IF(Tabelle2[[#This Row],[Status]]="Entschädigung beantragt",Tabelle2[[#This Row],[Instalment]]-Tabelle2[[#This Row],[(partially) paid amount]]+Tabelle2[[#This Row],[interest amount]]-Tabelle2[[#This Row],[(partially) paid interst amount]],"")</f>
        <v/>
      </c>
      <c r="O40" s="58" t="str">
        <f>IFERROR(ROUND(SB_Betrag*Tabelle2[[#This Row],[Residue after deduction]],2),"")</f>
        <v/>
      </c>
      <c r="P40" s="58" t="str">
        <f>IFERROR(Tabelle2[[#This Row],[Residue after deduction]]-Tabelle2[[#This Row],[Retention amount]],"")</f>
        <v/>
      </c>
      <c r="R40" s="164">
        <f>Tabelle2[[#This Row],[Due Date]]-C39</f>
        <v>0</v>
      </c>
      <c r="S40" s="164">
        <f>Tabelle2[[#This Row],[Due Date]]-C39</f>
        <v>0</v>
      </c>
      <c r="T40" s="164">
        <f>DAYS360(C39,Tabelle2[[#This Row],[Due Date]],TRUE)</f>
        <v>0</v>
      </c>
      <c r="U40" s="35" t="str">
        <f>IFERROR(ROUND(Tabelle2[[#This Row],[Remaining Capital]]*Tabelle2[[#This Row],[interest rate]]*Tabelle3[[#This Row],[Days act/360]]/360,2),"")</f>
        <v/>
      </c>
      <c r="V40" s="35" t="str">
        <f>IFERROR(ROUND(Tabelle2[[#This Row],[Remaining Capital]]*Tabelle2[[#This Row],[interest rate]]*Tabelle3[[#This Row],[Days act/365]]/365,2),"")</f>
        <v/>
      </c>
      <c r="W40" s="35" t="str">
        <f>IFERROR(ROUND(Tabelle2[[#This Row],[Remaining Capital]]*Tabelle2[[#This Row],[interest rate]]*Tabelle3[[#This Row],[Days 30/360]]/360,2),"")</f>
        <v/>
      </c>
    </row>
    <row r="41" spans="2:23" ht="24" customHeight="1">
      <c r="B41" s="72"/>
      <c r="C41" s="72"/>
      <c r="D41" s="54" t="str">
        <f t="shared" si="1"/>
        <v/>
      </c>
      <c r="E41" s="55" t="str">
        <f>IF(ISBLANK(Tabelle2[[#This Row],[Due Date]]),"",Währung)</f>
        <v/>
      </c>
      <c r="F41" s="56">
        <f t="shared" si="2"/>
        <v>0</v>
      </c>
      <c r="G41" s="56">
        <f t="shared" si="0"/>
        <v>0</v>
      </c>
      <c r="H41" s="73"/>
      <c r="I41" s="74"/>
      <c r="J41" s="59" t="str">
        <f>IF(ISBLANK(Tabelle2[[#This Row],[Euribor/ Libor]]),"",IF(Zerofloor=1,IF(Satz&lt;0,0+Marge,Satz+Marge),Satz+Marge))</f>
        <v/>
      </c>
      <c r="K41" s="58" t="str">
        <f>IF(Zinsmethode=1,Tabelle3[[#This Row],[Interest act/360]],IF(Zinsmethode=2,Tabelle3[[#This Row],[Interest act/365]],IF(Zinsmethode=3,Tabelle3[[#This Row],[Interest 30/360]],"")))</f>
        <v/>
      </c>
      <c r="L41" s="73"/>
      <c r="M41" s="72"/>
      <c r="N41" s="58" t="str">
        <f>IF(Tabelle2[[#This Row],[Status]]="Entschädigung beantragt",Tabelle2[[#This Row],[Instalment]]-Tabelle2[[#This Row],[(partially) paid amount]]+Tabelle2[[#This Row],[interest amount]]-Tabelle2[[#This Row],[(partially) paid interst amount]],"")</f>
        <v/>
      </c>
      <c r="O41" s="58" t="str">
        <f>IFERROR(ROUND(SB_Betrag*Tabelle2[[#This Row],[Residue after deduction]],2),"")</f>
        <v/>
      </c>
      <c r="P41" s="58" t="str">
        <f>IFERROR(Tabelle2[[#This Row],[Residue after deduction]]-Tabelle2[[#This Row],[Retention amount]],"")</f>
        <v/>
      </c>
      <c r="R41" s="164">
        <f>Tabelle2[[#This Row],[Due Date]]-C40</f>
        <v>0</v>
      </c>
      <c r="S41" s="164">
        <f>Tabelle2[[#This Row],[Due Date]]-C40</f>
        <v>0</v>
      </c>
      <c r="T41" s="164">
        <f>DAYS360(C40,Tabelle2[[#This Row],[Due Date]],TRUE)</f>
        <v>0</v>
      </c>
      <c r="U41" s="35" t="str">
        <f>IFERROR(ROUND(Tabelle2[[#This Row],[Remaining Capital]]*Tabelle2[[#This Row],[interest rate]]*Tabelle3[[#This Row],[Days act/360]]/360,2),"")</f>
        <v/>
      </c>
      <c r="V41" s="35" t="str">
        <f>IFERROR(ROUND(Tabelle2[[#This Row],[Remaining Capital]]*Tabelle2[[#This Row],[interest rate]]*Tabelle3[[#This Row],[Days act/365]]/365,2),"")</f>
        <v/>
      </c>
      <c r="W41" s="35" t="str">
        <f>IFERROR(ROUND(Tabelle2[[#This Row],[Remaining Capital]]*Tabelle2[[#This Row],[interest rate]]*Tabelle3[[#This Row],[Days 30/360]]/360,2),"")</f>
        <v/>
      </c>
    </row>
    <row r="42" spans="2:23" ht="24" customHeight="1">
      <c r="B42" s="72"/>
      <c r="C42" s="72"/>
      <c r="D42" s="54" t="str">
        <f t="shared" si="1"/>
        <v/>
      </c>
      <c r="E42" s="55" t="str">
        <f>IF(ISBLANK(Tabelle2[[#This Row],[Due Date]]),"",Währung)</f>
        <v/>
      </c>
      <c r="F42" s="56">
        <f t="shared" si="2"/>
        <v>0</v>
      </c>
      <c r="G42" s="56">
        <f t="shared" si="0"/>
        <v>0</v>
      </c>
      <c r="H42" s="73"/>
      <c r="I42" s="74"/>
      <c r="J42" s="59" t="str">
        <f>IF(ISBLANK(Tabelle2[[#This Row],[Euribor/ Libor]]),"",IF(Zerofloor=1,IF(Satz&lt;0,0+Marge,Satz+Marge),Satz+Marge))</f>
        <v/>
      </c>
      <c r="K42" s="58" t="str">
        <f>IF(Zinsmethode=1,Tabelle3[[#This Row],[Interest act/360]],IF(Zinsmethode=2,Tabelle3[[#This Row],[Interest act/365]],IF(Zinsmethode=3,Tabelle3[[#This Row],[Interest 30/360]],"")))</f>
        <v/>
      </c>
      <c r="L42" s="73"/>
      <c r="M42" s="72"/>
      <c r="N42" s="58" t="str">
        <f>IF(Tabelle2[[#This Row],[Status]]="Entschädigung beantragt",Tabelle2[[#This Row],[Instalment]]-Tabelle2[[#This Row],[(partially) paid amount]]+Tabelle2[[#This Row],[interest amount]]-Tabelle2[[#This Row],[(partially) paid interst amount]],"")</f>
        <v/>
      </c>
      <c r="O42" s="58" t="str">
        <f>IFERROR(ROUND(SB_Betrag*Tabelle2[[#This Row],[Residue after deduction]],2),"")</f>
        <v/>
      </c>
      <c r="P42" s="58" t="str">
        <f>IFERROR(Tabelle2[[#This Row],[Residue after deduction]]-Tabelle2[[#This Row],[Retention amount]],"")</f>
        <v/>
      </c>
      <c r="R42" s="164">
        <f>Tabelle2[[#This Row],[Due Date]]-C41</f>
        <v>0</v>
      </c>
      <c r="S42" s="164">
        <f>Tabelle2[[#This Row],[Due Date]]-C41</f>
        <v>0</v>
      </c>
      <c r="T42" s="164">
        <f>DAYS360(C41,Tabelle2[[#This Row],[Due Date]],TRUE)</f>
        <v>0</v>
      </c>
      <c r="U42" s="35" t="str">
        <f>IFERROR(ROUND(Tabelle2[[#This Row],[Remaining Capital]]*Tabelle2[[#This Row],[interest rate]]*Tabelle3[[#This Row],[Days act/360]]/360,2),"")</f>
        <v/>
      </c>
      <c r="V42" s="35" t="str">
        <f>IFERROR(ROUND(Tabelle2[[#This Row],[Remaining Capital]]*Tabelle2[[#This Row],[interest rate]]*Tabelle3[[#This Row],[Days act/365]]/365,2),"")</f>
        <v/>
      </c>
      <c r="W42" s="35" t="str">
        <f>IFERROR(ROUND(Tabelle2[[#This Row],[Remaining Capital]]*Tabelle2[[#This Row],[interest rate]]*Tabelle3[[#This Row],[Days 30/360]]/360,2),"")</f>
        <v/>
      </c>
    </row>
    <row r="43" spans="2:23" ht="24" customHeight="1">
      <c r="B43" s="72"/>
      <c r="C43" s="72"/>
      <c r="D43" s="54" t="str">
        <f t="shared" si="1"/>
        <v/>
      </c>
      <c r="E43" s="55" t="str">
        <f>IF(ISBLANK(Tabelle2[[#This Row],[Due Date]]),"",Währung)</f>
        <v/>
      </c>
      <c r="F43" s="56">
        <f t="shared" si="2"/>
        <v>0</v>
      </c>
      <c r="G43" s="56">
        <f t="shared" si="0"/>
        <v>0</v>
      </c>
      <c r="H43" s="73"/>
      <c r="I43" s="74"/>
      <c r="J43" s="59" t="str">
        <f>IF(ISBLANK(Tabelle2[[#This Row],[Euribor/ Libor]]),"",IF(Zerofloor=1,IF(Satz&lt;0,0+Marge,Satz+Marge),Satz+Marge))</f>
        <v/>
      </c>
      <c r="K43" s="58" t="str">
        <f>IF(Zinsmethode=1,Tabelle3[[#This Row],[Interest act/360]],IF(Zinsmethode=2,Tabelle3[[#This Row],[Interest act/365]],IF(Zinsmethode=3,Tabelle3[[#This Row],[Interest 30/360]],"")))</f>
        <v/>
      </c>
      <c r="L43" s="73"/>
      <c r="M43" s="72"/>
      <c r="N43" s="58" t="str">
        <f>IF(Tabelle2[[#This Row],[Status]]="Entschädigung beantragt",Tabelle2[[#This Row],[Instalment]]-Tabelle2[[#This Row],[(partially) paid amount]]+Tabelle2[[#This Row],[interest amount]]-Tabelle2[[#This Row],[(partially) paid interst amount]],"")</f>
        <v/>
      </c>
      <c r="O43" s="58" t="str">
        <f>IFERROR(ROUND(SB_Betrag*Tabelle2[[#This Row],[Residue after deduction]],2),"")</f>
        <v/>
      </c>
      <c r="P43" s="58" t="str">
        <f>IFERROR(Tabelle2[[#This Row],[Residue after deduction]]-Tabelle2[[#This Row],[Retention amount]],"")</f>
        <v/>
      </c>
      <c r="R43" s="164">
        <f>Tabelle2[[#This Row],[Due Date]]-C42</f>
        <v>0</v>
      </c>
      <c r="S43" s="164">
        <f>Tabelle2[[#This Row],[Due Date]]-C42</f>
        <v>0</v>
      </c>
      <c r="T43" s="164">
        <f>DAYS360(C42,Tabelle2[[#This Row],[Due Date]],TRUE)</f>
        <v>0</v>
      </c>
      <c r="U43" s="35" t="str">
        <f>IFERROR(ROUND(Tabelle2[[#This Row],[Remaining Capital]]*Tabelle2[[#This Row],[interest rate]]*Tabelle3[[#This Row],[Days act/360]]/360,2),"")</f>
        <v/>
      </c>
      <c r="V43" s="35" t="str">
        <f>IFERROR(ROUND(Tabelle2[[#This Row],[Remaining Capital]]*Tabelle2[[#This Row],[interest rate]]*Tabelle3[[#This Row],[Days act/365]]/365,2),"")</f>
        <v/>
      </c>
      <c r="W43" s="35" t="str">
        <f>IFERROR(ROUND(Tabelle2[[#This Row],[Remaining Capital]]*Tabelle2[[#This Row],[interest rate]]*Tabelle3[[#This Row],[Days 30/360]]/360,2),"")</f>
        <v/>
      </c>
    </row>
    <row r="44" spans="2:23" ht="24" customHeight="1">
      <c r="B44" s="72"/>
      <c r="C44" s="72"/>
      <c r="D44" s="54" t="str">
        <f t="shared" si="1"/>
        <v/>
      </c>
      <c r="E44" s="55" t="str">
        <f>IF(ISBLANK(Tabelle2[[#This Row],[Due Date]]),"",Währung)</f>
        <v/>
      </c>
      <c r="F44" s="56">
        <f t="shared" si="2"/>
        <v>0</v>
      </c>
      <c r="G44" s="56">
        <f t="shared" si="0"/>
        <v>0</v>
      </c>
      <c r="H44" s="73"/>
      <c r="I44" s="74"/>
      <c r="J44" s="59" t="str">
        <f>IF(ISBLANK(Tabelle2[[#This Row],[Euribor/ Libor]]),"",IF(Zerofloor=1,IF(Satz&lt;0,0+Marge,Satz+Marge),Satz+Marge))</f>
        <v/>
      </c>
      <c r="K44" s="58" t="str">
        <f>IF(Zinsmethode=1,Tabelle3[[#This Row],[Interest act/360]],IF(Zinsmethode=2,Tabelle3[[#This Row],[Interest act/365]],IF(Zinsmethode=3,Tabelle3[[#This Row],[Interest 30/360]],"")))</f>
        <v/>
      </c>
      <c r="L44" s="73"/>
      <c r="M44" s="72"/>
      <c r="N44" s="58" t="str">
        <f>IF(Tabelle2[[#This Row],[Status]]="Entschädigung beantragt",Tabelle2[[#This Row],[Instalment]]-Tabelle2[[#This Row],[(partially) paid amount]]+Tabelle2[[#This Row],[interest amount]]-Tabelle2[[#This Row],[(partially) paid interst amount]],"")</f>
        <v/>
      </c>
      <c r="O44" s="58" t="str">
        <f>IFERROR(ROUND(SB_Betrag*Tabelle2[[#This Row],[Residue after deduction]],2),"")</f>
        <v/>
      </c>
      <c r="P44" s="58" t="str">
        <f>IFERROR(Tabelle2[[#This Row],[Residue after deduction]]-Tabelle2[[#This Row],[Retention amount]],"")</f>
        <v/>
      </c>
      <c r="R44" s="164">
        <f>Tabelle2[[#This Row],[Due Date]]-C43</f>
        <v>0</v>
      </c>
      <c r="S44" s="164">
        <f>Tabelle2[[#This Row],[Due Date]]-C43</f>
        <v>0</v>
      </c>
      <c r="T44" s="164">
        <f>DAYS360(C43,Tabelle2[[#This Row],[Due Date]],TRUE)</f>
        <v>0</v>
      </c>
      <c r="U44" s="35" t="str">
        <f>IFERROR(ROUND(Tabelle2[[#This Row],[Remaining Capital]]*Tabelle2[[#This Row],[interest rate]]*Tabelle3[[#This Row],[Days act/360]]/360,2),"")</f>
        <v/>
      </c>
      <c r="V44" s="35" t="str">
        <f>IFERROR(ROUND(Tabelle2[[#This Row],[Remaining Capital]]*Tabelle2[[#This Row],[interest rate]]*Tabelle3[[#This Row],[Days act/365]]/365,2),"")</f>
        <v/>
      </c>
      <c r="W44" s="35" t="str">
        <f>IFERROR(ROUND(Tabelle2[[#This Row],[Remaining Capital]]*Tabelle2[[#This Row],[interest rate]]*Tabelle3[[#This Row],[Days 30/360]]/360,2),"")</f>
        <v/>
      </c>
    </row>
    <row r="45" spans="2:23" ht="24" customHeight="1">
      <c r="B45" s="72"/>
      <c r="C45" s="72"/>
      <c r="D45" s="54" t="str">
        <f t="shared" si="1"/>
        <v/>
      </c>
      <c r="E45" s="55" t="str">
        <f>IF(ISBLANK(Tabelle2[[#This Row],[Due Date]]),"",Währung)</f>
        <v/>
      </c>
      <c r="F45" s="56">
        <f t="shared" si="2"/>
        <v>0</v>
      </c>
      <c r="G45" s="56">
        <f t="shared" si="0"/>
        <v>0</v>
      </c>
      <c r="H45" s="73"/>
      <c r="I45" s="74"/>
      <c r="J45" s="59" t="str">
        <f>IF(ISBLANK(Tabelle2[[#This Row],[Euribor/ Libor]]),"",IF(Zerofloor=1,IF(Satz&lt;0,0+Marge,Satz+Marge),Satz+Marge))</f>
        <v/>
      </c>
      <c r="K45" s="58" t="str">
        <f>IF(Zinsmethode=1,Tabelle3[[#This Row],[Interest act/360]],IF(Zinsmethode=2,Tabelle3[[#This Row],[Interest act/365]],IF(Zinsmethode=3,Tabelle3[[#This Row],[Interest 30/360]],"")))</f>
        <v/>
      </c>
      <c r="L45" s="73"/>
      <c r="M45" s="72"/>
      <c r="N45" s="58" t="str">
        <f>IF(Tabelle2[[#This Row],[Status]]="Entschädigung beantragt",Tabelle2[[#This Row],[Instalment]]-Tabelle2[[#This Row],[(partially) paid amount]]+Tabelle2[[#This Row],[interest amount]]-Tabelle2[[#This Row],[(partially) paid interst amount]],"")</f>
        <v/>
      </c>
      <c r="O45" s="58" t="str">
        <f>IFERROR(ROUND(SB_Betrag*Tabelle2[[#This Row],[Residue after deduction]],2),"")</f>
        <v/>
      </c>
      <c r="P45" s="58" t="str">
        <f>IFERROR(Tabelle2[[#This Row],[Residue after deduction]]-Tabelle2[[#This Row],[Retention amount]],"")</f>
        <v/>
      </c>
      <c r="R45" s="164">
        <f>Tabelle2[[#This Row],[Due Date]]-C44</f>
        <v>0</v>
      </c>
      <c r="S45" s="164">
        <f>Tabelle2[[#This Row],[Due Date]]-C44</f>
        <v>0</v>
      </c>
      <c r="T45" s="164">
        <f>DAYS360(C44,Tabelle2[[#This Row],[Due Date]],TRUE)</f>
        <v>0</v>
      </c>
      <c r="U45" s="35" t="str">
        <f>IFERROR(ROUND(Tabelle2[[#This Row],[Remaining Capital]]*Tabelle2[[#This Row],[interest rate]]*Tabelle3[[#This Row],[Days act/360]]/360,2),"")</f>
        <v/>
      </c>
      <c r="V45" s="35" t="str">
        <f>IFERROR(ROUND(Tabelle2[[#This Row],[Remaining Capital]]*Tabelle2[[#This Row],[interest rate]]*Tabelle3[[#This Row],[Days act/365]]/365,2),"")</f>
        <v/>
      </c>
      <c r="W45" s="35" t="str">
        <f>IFERROR(ROUND(Tabelle2[[#This Row],[Remaining Capital]]*Tabelle2[[#This Row],[interest rate]]*Tabelle3[[#This Row],[Days 30/360]]/360,2),"")</f>
        <v/>
      </c>
    </row>
    <row r="46" spans="2:23" ht="24" customHeight="1">
      <c r="B46" s="72"/>
      <c r="C46" s="72"/>
      <c r="D46" s="54" t="str">
        <f t="shared" si="1"/>
        <v/>
      </c>
      <c r="E46" s="55" t="str">
        <f>IF(ISBLANK(Tabelle2[[#This Row],[Due Date]]),"",Währung)</f>
        <v/>
      </c>
      <c r="F46" s="56">
        <f t="shared" si="2"/>
        <v>0</v>
      </c>
      <c r="G46" s="56">
        <f t="shared" si="0"/>
        <v>0</v>
      </c>
      <c r="H46" s="73"/>
      <c r="I46" s="74"/>
      <c r="J46" s="59" t="str">
        <f>IF(ISBLANK(Tabelle2[[#This Row],[Euribor/ Libor]]),"",IF(Zerofloor=1,IF(Satz&lt;0,0+Marge,Satz+Marge),Satz+Marge))</f>
        <v/>
      </c>
      <c r="K46" s="58" t="str">
        <f>IF(Zinsmethode=1,Tabelle3[[#This Row],[Interest act/360]],IF(Zinsmethode=2,Tabelle3[[#This Row],[Interest act/365]],IF(Zinsmethode=3,Tabelle3[[#This Row],[Interest 30/360]],"")))</f>
        <v/>
      </c>
      <c r="L46" s="73"/>
      <c r="M46" s="72"/>
      <c r="N46" s="58" t="str">
        <f>IF(Tabelle2[[#This Row],[Status]]="Entschädigung beantragt",Tabelle2[[#This Row],[Instalment]]-Tabelle2[[#This Row],[(partially) paid amount]]+Tabelle2[[#This Row],[interest amount]]-Tabelle2[[#This Row],[(partially) paid interst amount]],"")</f>
        <v/>
      </c>
      <c r="O46" s="58" t="str">
        <f>IFERROR(ROUND(SB_Betrag*Tabelle2[[#This Row],[Residue after deduction]],2),"")</f>
        <v/>
      </c>
      <c r="P46" s="58" t="str">
        <f>IFERROR(Tabelle2[[#This Row],[Residue after deduction]]-Tabelle2[[#This Row],[Retention amount]],"")</f>
        <v/>
      </c>
      <c r="R46" s="164">
        <f>Tabelle2[[#This Row],[Due Date]]-C45</f>
        <v>0</v>
      </c>
      <c r="S46" s="164">
        <f>Tabelle2[[#This Row],[Due Date]]-C45</f>
        <v>0</v>
      </c>
      <c r="T46" s="164">
        <f>DAYS360(C45,Tabelle2[[#This Row],[Due Date]],TRUE)</f>
        <v>0</v>
      </c>
      <c r="U46" s="35" t="str">
        <f>IFERROR(ROUND(Tabelle2[[#This Row],[Remaining Capital]]*Tabelle2[[#This Row],[interest rate]]*Tabelle3[[#This Row],[Days act/360]]/360,2),"")</f>
        <v/>
      </c>
      <c r="V46" s="35" t="str">
        <f>IFERROR(ROUND(Tabelle2[[#This Row],[Remaining Capital]]*Tabelle2[[#This Row],[interest rate]]*Tabelle3[[#This Row],[Days act/365]]/365,2),"")</f>
        <v/>
      </c>
      <c r="W46" s="35" t="str">
        <f>IFERROR(ROUND(Tabelle2[[#This Row],[Remaining Capital]]*Tabelle2[[#This Row],[interest rate]]*Tabelle3[[#This Row],[Days 30/360]]/360,2),"")</f>
        <v/>
      </c>
    </row>
    <row r="47" spans="2:23" ht="24" customHeight="1">
      <c r="B47" s="72"/>
      <c r="C47" s="72"/>
      <c r="D47" s="54" t="str">
        <f t="shared" si="1"/>
        <v/>
      </c>
      <c r="E47" s="55" t="str">
        <f>IF(ISBLANK(Tabelle2[[#This Row],[Due Date]]),"",Währung)</f>
        <v/>
      </c>
      <c r="F47" s="56">
        <f t="shared" si="2"/>
        <v>0</v>
      </c>
      <c r="G47" s="56">
        <f t="shared" si="0"/>
        <v>0</v>
      </c>
      <c r="H47" s="73"/>
      <c r="I47" s="74"/>
      <c r="J47" s="59" t="str">
        <f>IF(ISBLANK(Tabelle2[[#This Row],[Euribor/ Libor]]),"",IF(Zerofloor=1,IF(Satz&lt;0,0+Marge,Satz+Marge),Satz+Marge))</f>
        <v/>
      </c>
      <c r="K47" s="58" t="str">
        <f>IF(Zinsmethode=1,Tabelle3[[#This Row],[Interest act/360]],IF(Zinsmethode=2,Tabelle3[[#This Row],[Interest act/365]],IF(Zinsmethode=3,Tabelle3[[#This Row],[Interest 30/360]],"")))</f>
        <v/>
      </c>
      <c r="L47" s="73"/>
      <c r="M47" s="72"/>
      <c r="N47" s="58" t="str">
        <f>IF(Tabelle2[[#This Row],[Status]]="Entschädigung beantragt",Tabelle2[[#This Row],[Instalment]]-Tabelle2[[#This Row],[(partially) paid amount]]+Tabelle2[[#This Row],[interest amount]]-Tabelle2[[#This Row],[(partially) paid interst amount]],"")</f>
        <v/>
      </c>
      <c r="O47" s="58" t="str">
        <f>IFERROR(ROUND(SB_Betrag*Tabelle2[[#This Row],[Residue after deduction]],2),"")</f>
        <v/>
      </c>
      <c r="P47" s="58" t="str">
        <f>IFERROR(Tabelle2[[#This Row],[Residue after deduction]]-Tabelle2[[#This Row],[Retention amount]],"")</f>
        <v/>
      </c>
      <c r="R47" s="164">
        <f>Tabelle2[[#This Row],[Due Date]]-C46</f>
        <v>0</v>
      </c>
      <c r="S47" s="164">
        <f>Tabelle2[[#This Row],[Due Date]]-C46</f>
        <v>0</v>
      </c>
      <c r="T47" s="164">
        <f>DAYS360(C46,Tabelle2[[#This Row],[Due Date]],TRUE)</f>
        <v>0</v>
      </c>
      <c r="U47" s="35" t="str">
        <f>IFERROR(ROUND(Tabelle2[[#This Row],[Remaining Capital]]*Tabelle2[[#This Row],[interest rate]]*Tabelle3[[#This Row],[Days act/360]]/360,2),"")</f>
        <v/>
      </c>
      <c r="V47" s="35" t="str">
        <f>IFERROR(ROUND(Tabelle2[[#This Row],[Remaining Capital]]*Tabelle2[[#This Row],[interest rate]]*Tabelle3[[#This Row],[Days act/365]]/365,2),"")</f>
        <v/>
      </c>
      <c r="W47" s="35" t="str">
        <f>IFERROR(ROUND(Tabelle2[[#This Row],[Remaining Capital]]*Tabelle2[[#This Row],[interest rate]]*Tabelle3[[#This Row],[Days 30/360]]/360,2),"")</f>
        <v/>
      </c>
    </row>
    <row r="48" spans="2:23" ht="24" customHeight="1">
      <c r="B48" s="72"/>
      <c r="C48" s="72"/>
      <c r="D48" s="54" t="str">
        <f t="shared" si="1"/>
        <v/>
      </c>
      <c r="E48" s="55" t="str">
        <f>IF(ISBLANK(Tabelle2[[#This Row],[Due Date]]),"",Währung)</f>
        <v/>
      </c>
      <c r="F48" s="56">
        <f t="shared" si="2"/>
        <v>0</v>
      </c>
      <c r="G48" s="56">
        <f t="shared" si="0"/>
        <v>0</v>
      </c>
      <c r="H48" s="73"/>
      <c r="I48" s="74"/>
      <c r="J48" s="59" t="str">
        <f>IF(ISBLANK(Tabelle2[[#This Row],[Euribor/ Libor]]),"",IF(Zerofloor=1,IF(Satz&lt;0,0+Marge,Satz+Marge),Satz+Marge))</f>
        <v/>
      </c>
      <c r="K48" s="58" t="str">
        <f>IF(Zinsmethode=1,Tabelle3[[#This Row],[Interest act/360]],IF(Zinsmethode=2,Tabelle3[[#This Row],[Interest act/365]],IF(Zinsmethode=3,Tabelle3[[#This Row],[Interest 30/360]],"")))</f>
        <v/>
      </c>
      <c r="L48" s="73"/>
      <c r="M48" s="72"/>
      <c r="N48" s="58" t="str">
        <f>IF(Tabelle2[[#This Row],[Status]]="Entschädigung beantragt",Tabelle2[[#This Row],[Instalment]]-Tabelle2[[#This Row],[(partially) paid amount]]+Tabelle2[[#This Row],[interest amount]]-Tabelle2[[#This Row],[(partially) paid interst amount]],"")</f>
        <v/>
      </c>
      <c r="O48" s="58" t="str">
        <f>IFERROR(ROUND(SB_Betrag*Tabelle2[[#This Row],[Residue after deduction]],2),"")</f>
        <v/>
      </c>
      <c r="P48" s="58" t="str">
        <f>IFERROR(Tabelle2[[#This Row],[Residue after deduction]]-Tabelle2[[#This Row],[Retention amount]],"")</f>
        <v/>
      </c>
      <c r="R48" s="164">
        <f>Tabelle2[[#This Row],[Due Date]]-C47</f>
        <v>0</v>
      </c>
      <c r="S48" s="164">
        <f>Tabelle2[[#This Row],[Due Date]]-C47</f>
        <v>0</v>
      </c>
      <c r="T48" s="164">
        <f>DAYS360(C47,Tabelle2[[#This Row],[Due Date]],TRUE)</f>
        <v>0</v>
      </c>
      <c r="U48" s="35" t="str">
        <f>IFERROR(ROUND(Tabelle2[[#This Row],[Remaining Capital]]*Tabelle2[[#This Row],[interest rate]]*Tabelle3[[#This Row],[Days act/360]]/360,2),"")</f>
        <v/>
      </c>
      <c r="V48" s="35" t="str">
        <f>IFERROR(ROUND(Tabelle2[[#This Row],[Remaining Capital]]*Tabelle2[[#This Row],[interest rate]]*Tabelle3[[#This Row],[Days act/365]]/365,2),"")</f>
        <v/>
      </c>
      <c r="W48" s="35" t="str">
        <f>IFERROR(ROUND(Tabelle2[[#This Row],[Remaining Capital]]*Tabelle2[[#This Row],[interest rate]]*Tabelle3[[#This Row],[Days 30/360]]/360,2),"")</f>
        <v/>
      </c>
    </row>
    <row r="49" spans="2:23" ht="24" customHeight="1">
      <c r="B49" s="72"/>
      <c r="C49" s="72"/>
      <c r="D49" s="54" t="str">
        <f t="shared" si="1"/>
        <v/>
      </c>
      <c r="E49" s="55" t="str">
        <f>IF(ISBLANK(Tabelle2[[#This Row],[Due Date]]),"",Währung)</f>
        <v/>
      </c>
      <c r="F49" s="56">
        <f t="shared" si="2"/>
        <v>0</v>
      </c>
      <c r="G49" s="56">
        <f t="shared" si="0"/>
        <v>0</v>
      </c>
      <c r="H49" s="73"/>
      <c r="I49" s="74"/>
      <c r="J49" s="59" t="str">
        <f>IF(ISBLANK(Tabelle2[[#This Row],[Euribor/ Libor]]),"",IF(Zerofloor=1,IF(Satz&lt;0,0+Marge,Satz+Marge),Satz+Marge))</f>
        <v/>
      </c>
      <c r="K49" s="58" t="str">
        <f>IF(Zinsmethode=1,Tabelle3[[#This Row],[Interest act/360]],IF(Zinsmethode=2,Tabelle3[[#This Row],[Interest act/365]],IF(Zinsmethode=3,Tabelle3[[#This Row],[Interest 30/360]],"")))</f>
        <v/>
      </c>
      <c r="L49" s="73"/>
      <c r="M49" s="72"/>
      <c r="N49" s="58" t="str">
        <f>IF(Tabelle2[[#This Row],[Status]]="Entschädigung beantragt",Tabelle2[[#This Row],[Instalment]]-Tabelle2[[#This Row],[(partially) paid amount]]+Tabelle2[[#This Row],[interest amount]]-Tabelle2[[#This Row],[(partially) paid interst amount]],"")</f>
        <v/>
      </c>
      <c r="O49" s="58" t="str">
        <f>IFERROR(ROUND(SB_Betrag*Tabelle2[[#This Row],[Residue after deduction]],2),"")</f>
        <v/>
      </c>
      <c r="P49" s="58" t="str">
        <f>IFERROR(Tabelle2[[#This Row],[Residue after deduction]]-Tabelle2[[#This Row],[Retention amount]],"")</f>
        <v/>
      </c>
      <c r="R49" s="164">
        <f>Tabelle2[[#This Row],[Due Date]]-C48</f>
        <v>0</v>
      </c>
      <c r="S49" s="164">
        <f>Tabelle2[[#This Row],[Due Date]]-C48</f>
        <v>0</v>
      </c>
      <c r="T49" s="164">
        <f>DAYS360(C48,Tabelle2[[#This Row],[Due Date]],TRUE)</f>
        <v>0</v>
      </c>
      <c r="U49" s="35" t="str">
        <f>IFERROR(ROUND(Tabelle2[[#This Row],[Remaining Capital]]*Tabelle2[[#This Row],[interest rate]]*Tabelle3[[#This Row],[Days act/360]]/360,2),"")</f>
        <v/>
      </c>
      <c r="V49" s="35" t="str">
        <f>IFERROR(ROUND(Tabelle2[[#This Row],[Remaining Capital]]*Tabelle2[[#This Row],[interest rate]]*Tabelle3[[#This Row],[Days act/365]]/365,2),"")</f>
        <v/>
      </c>
      <c r="W49" s="35" t="str">
        <f>IFERROR(ROUND(Tabelle2[[#This Row],[Remaining Capital]]*Tabelle2[[#This Row],[interest rate]]*Tabelle3[[#This Row],[Days 30/360]]/360,2),"")</f>
        <v/>
      </c>
    </row>
    <row r="50" spans="2:23" ht="24" customHeight="1">
      <c r="B50" s="72"/>
      <c r="C50" s="72"/>
      <c r="D50" s="54" t="str">
        <f t="shared" si="1"/>
        <v/>
      </c>
      <c r="E50" s="55" t="str">
        <f>IF(ISBLANK(Tabelle2[[#This Row],[Due Date]]),"",Währung)</f>
        <v/>
      </c>
      <c r="F50" s="56">
        <f t="shared" si="2"/>
        <v>0</v>
      </c>
      <c r="G50" s="56">
        <f t="shared" si="0"/>
        <v>0</v>
      </c>
      <c r="H50" s="73"/>
      <c r="I50" s="74"/>
      <c r="J50" s="59" t="str">
        <f>IF(ISBLANK(Tabelle2[[#This Row],[Euribor/ Libor]]),"",IF(Zerofloor=1,IF(Satz&lt;0,0+Marge,Satz+Marge),Satz+Marge))</f>
        <v/>
      </c>
      <c r="K50" s="58" t="str">
        <f>IF(Zinsmethode=1,Tabelle3[[#This Row],[Interest act/360]],IF(Zinsmethode=2,Tabelle3[[#This Row],[Interest act/365]],IF(Zinsmethode=3,Tabelle3[[#This Row],[Interest 30/360]],"")))</f>
        <v/>
      </c>
      <c r="L50" s="73"/>
      <c r="M50" s="72"/>
      <c r="N50" s="58" t="str">
        <f>IF(Tabelle2[[#This Row],[Status]]="Entschädigung beantragt",Tabelle2[[#This Row],[Instalment]]-Tabelle2[[#This Row],[(partially) paid amount]]+Tabelle2[[#This Row],[interest amount]]-Tabelle2[[#This Row],[(partially) paid interst amount]],"")</f>
        <v/>
      </c>
      <c r="O50" s="58" t="str">
        <f>IFERROR(ROUND(SB_Betrag*Tabelle2[[#This Row],[Residue after deduction]],2),"")</f>
        <v/>
      </c>
      <c r="P50" s="58" t="str">
        <f>IFERROR(Tabelle2[[#This Row],[Residue after deduction]]-Tabelle2[[#This Row],[Retention amount]],"")</f>
        <v/>
      </c>
      <c r="R50" s="164">
        <f>Tabelle2[[#This Row],[Due Date]]-C49</f>
        <v>0</v>
      </c>
      <c r="S50" s="164">
        <f>Tabelle2[[#This Row],[Due Date]]-C49</f>
        <v>0</v>
      </c>
      <c r="T50" s="164">
        <f>DAYS360(C49,Tabelle2[[#This Row],[Due Date]],TRUE)</f>
        <v>0</v>
      </c>
      <c r="U50" s="35" t="str">
        <f>IFERROR(ROUND(Tabelle2[[#This Row],[Remaining Capital]]*Tabelle2[[#This Row],[interest rate]]*Tabelle3[[#This Row],[Days act/360]]/360,2),"")</f>
        <v/>
      </c>
      <c r="V50" s="35" t="str">
        <f>IFERROR(ROUND(Tabelle2[[#This Row],[Remaining Capital]]*Tabelle2[[#This Row],[interest rate]]*Tabelle3[[#This Row],[Days act/365]]/365,2),"")</f>
        <v/>
      </c>
      <c r="W50" s="35" t="str">
        <f>IFERROR(ROUND(Tabelle2[[#This Row],[Remaining Capital]]*Tabelle2[[#This Row],[interest rate]]*Tabelle3[[#This Row],[Days 30/360]]/360,2),"")</f>
        <v/>
      </c>
    </row>
    <row r="51" spans="2:23" ht="24" customHeight="1">
      <c r="B51" s="72"/>
      <c r="C51" s="72"/>
      <c r="D51" s="54" t="str">
        <f t="shared" si="1"/>
        <v/>
      </c>
      <c r="E51" s="55" t="str">
        <f>IF(ISBLANK(Tabelle2[[#This Row],[Due Date]]),"",Währung)</f>
        <v/>
      </c>
      <c r="F51" s="56">
        <f t="shared" si="2"/>
        <v>0</v>
      </c>
      <c r="G51" s="56">
        <f t="shared" si="0"/>
        <v>0</v>
      </c>
      <c r="H51" s="73"/>
      <c r="I51" s="74"/>
      <c r="J51" s="59" t="str">
        <f>IF(ISBLANK(Tabelle2[[#This Row],[Euribor/ Libor]]),"",IF(Zerofloor=1,IF(Satz&lt;0,0+Marge,Satz+Marge),Satz+Marge))</f>
        <v/>
      </c>
      <c r="K51" s="58" t="str">
        <f>IF(Zinsmethode=1,Tabelle3[[#This Row],[Interest act/360]],IF(Zinsmethode=2,Tabelle3[[#This Row],[Interest act/365]],IF(Zinsmethode=3,Tabelle3[[#This Row],[Interest 30/360]],"")))</f>
        <v/>
      </c>
      <c r="L51" s="73"/>
      <c r="M51" s="72"/>
      <c r="N51" s="58" t="str">
        <f>IF(Tabelle2[[#This Row],[Status]]="Entschädigung beantragt",Tabelle2[[#This Row],[Instalment]]-Tabelle2[[#This Row],[(partially) paid amount]]+Tabelle2[[#This Row],[interest amount]]-Tabelle2[[#This Row],[(partially) paid interst amount]],"")</f>
        <v/>
      </c>
      <c r="O51" s="58" t="str">
        <f>IFERROR(ROUND(SB_Betrag*Tabelle2[[#This Row],[Residue after deduction]],2),"")</f>
        <v/>
      </c>
      <c r="P51" s="58" t="str">
        <f>IFERROR(Tabelle2[[#This Row],[Residue after deduction]]-Tabelle2[[#This Row],[Retention amount]],"")</f>
        <v/>
      </c>
      <c r="R51" s="164">
        <f>Tabelle2[[#This Row],[Due Date]]-C50</f>
        <v>0</v>
      </c>
      <c r="S51" s="164">
        <f>Tabelle2[[#This Row],[Due Date]]-C50</f>
        <v>0</v>
      </c>
      <c r="T51" s="164">
        <f>DAYS360(C50,Tabelle2[[#This Row],[Due Date]],TRUE)</f>
        <v>0</v>
      </c>
      <c r="U51" s="35" t="str">
        <f>IFERROR(ROUND(Tabelle2[[#This Row],[Remaining Capital]]*Tabelle2[[#This Row],[interest rate]]*Tabelle3[[#This Row],[Days act/360]]/360,2),"")</f>
        <v/>
      </c>
      <c r="V51" s="35" t="str">
        <f>IFERROR(ROUND(Tabelle2[[#This Row],[Remaining Capital]]*Tabelle2[[#This Row],[interest rate]]*Tabelle3[[#This Row],[Days act/365]]/365,2),"")</f>
        <v/>
      </c>
      <c r="W51" s="35" t="str">
        <f>IFERROR(ROUND(Tabelle2[[#This Row],[Remaining Capital]]*Tabelle2[[#This Row],[interest rate]]*Tabelle3[[#This Row],[Days 30/360]]/360,2),"")</f>
        <v/>
      </c>
    </row>
    <row r="52" spans="2:23" ht="24" customHeight="1">
      <c r="B52" s="72"/>
      <c r="C52" s="72"/>
      <c r="D52" s="54" t="str">
        <f t="shared" si="1"/>
        <v/>
      </c>
      <c r="E52" s="55" t="str">
        <f>IF(ISBLANK(Tabelle2[[#This Row],[Due Date]]),"",Währung)</f>
        <v/>
      </c>
      <c r="F52" s="56">
        <f t="shared" si="2"/>
        <v>0</v>
      </c>
      <c r="G52" s="56">
        <f t="shared" si="0"/>
        <v>0</v>
      </c>
      <c r="H52" s="73"/>
      <c r="I52" s="74"/>
      <c r="J52" s="59" t="str">
        <f>IF(ISBLANK(Tabelle2[[#This Row],[Euribor/ Libor]]),"",IF(Zerofloor=1,IF(Satz&lt;0,0+Marge,Satz+Marge),Satz+Marge))</f>
        <v/>
      </c>
      <c r="K52" s="58" t="str">
        <f>IF(Zinsmethode=1,Tabelle3[[#This Row],[Interest act/360]],IF(Zinsmethode=2,Tabelle3[[#This Row],[Interest act/365]],IF(Zinsmethode=3,Tabelle3[[#This Row],[Interest 30/360]],"")))</f>
        <v/>
      </c>
      <c r="L52" s="73"/>
      <c r="M52" s="72"/>
      <c r="N52" s="58" t="str">
        <f>IF(Tabelle2[[#This Row],[Status]]="Entschädigung beantragt",Tabelle2[[#This Row],[Instalment]]-Tabelle2[[#This Row],[(partially) paid amount]]+Tabelle2[[#This Row],[interest amount]]-Tabelle2[[#This Row],[(partially) paid interst amount]],"")</f>
        <v/>
      </c>
      <c r="O52" s="58" t="str">
        <f>IFERROR(ROUND(SB_Betrag*Tabelle2[[#This Row],[Residue after deduction]],2),"")</f>
        <v/>
      </c>
      <c r="P52" s="58" t="str">
        <f>IFERROR(Tabelle2[[#This Row],[Residue after deduction]]-Tabelle2[[#This Row],[Retention amount]],"")</f>
        <v/>
      </c>
      <c r="R52" s="164">
        <f>Tabelle2[[#This Row],[Due Date]]-C51</f>
        <v>0</v>
      </c>
      <c r="S52" s="164">
        <f>Tabelle2[[#This Row],[Due Date]]-C51</f>
        <v>0</v>
      </c>
      <c r="T52" s="164">
        <f>DAYS360(C51,Tabelle2[[#This Row],[Due Date]],TRUE)</f>
        <v>0</v>
      </c>
      <c r="U52" s="35" t="str">
        <f>IFERROR(ROUND(Tabelle2[[#This Row],[Remaining Capital]]*Tabelle2[[#This Row],[interest rate]]*Tabelle3[[#This Row],[Days act/360]]/360,2),"")</f>
        <v/>
      </c>
      <c r="V52" s="35" t="str">
        <f>IFERROR(ROUND(Tabelle2[[#This Row],[Remaining Capital]]*Tabelle2[[#This Row],[interest rate]]*Tabelle3[[#This Row],[Days act/365]]/365,2),"")</f>
        <v/>
      </c>
      <c r="W52" s="35" t="str">
        <f>IFERROR(ROUND(Tabelle2[[#This Row],[Remaining Capital]]*Tabelle2[[#This Row],[interest rate]]*Tabelle3[[#This Row],[Days 30/360]]/360,2),"")</f>
        <v/>
      </c>
    </row>
    <row r="53" spans="2:23" ht="24" customHeight="1">
      <c r="B53" s="72"/>
      <c r="C53" s="72"/>
      <c r="D53" s="54" t="str">
        <f t="shared" si="1"/>
        <v/>
      </c>
      <c r="E53" s="55" t="str">
        <f>IF(ISBLANK(Tabelle2[[#This Row],[Due Date]]),"",Währung)</f>
        <v/>
      </c>
      <c r="F53" s="56">
        <f t="shared" si="2"/>
        <v>0</v>
      </c>
      <c r="G53" s="56">
        <f t="shared" si="0"/>
        <v>0</v>
      </c>
      <c r="H53" s="73"/>
      <c r="I53" s="74"/>
      <c r="J53" s="59" t="str">
        <f>IF(ISBLANK(Tabelle2[[#This Row],[Euribor/ Libor]]),"",IF(Zerofloor=1,IF(Satz&lt;0,0+Marge,Satz+Marge),Satz+Marge))</f>
        <v/>
      </c>
      <c r="K53" s="58" t="str">
        <f>IF(Zinsmethode=1,Tabelle3[[#This Row],[Interest act/360]],IF(Zinsmethode=2,Tabelle3[[#This Row],[Interest act/365]],IF(Zinsmethode=3,Tabelle3[[#This Row],[Interest 30/360]],"")))</f>
        <v/>
      </c>
      <c r="L53" s="73"/>
      <c r="M53" s="72"/>
      <c r="N53" s="58" t="str">
        <f>IF(Tabelle2[[#This Row],[Status]]="Entschädigung beantragt",Tabelle2[[#This Row],[Instalment]]-Tabelle2[[#This Row],[(partially) paid amount]]+Tabelle2[[#This Row],[interest amount]]-Tabelle2[[#This Row],[(partially) paid interst amount]],"")</f>
        <v/>
      </c>
      <c r="O53" s="58" t="str">
        <f>IFERROR(ROUND(SB_Betrag*Tabelle2[[#This Row],[Residue after deduction]],2),"")</f>
        <v/>
      </c>
      <c r="P53" s="58" t="str">
        <f>IFERROR(Tabelle2[[#This Row],[Residue after deduction]]-Tabelle2[[#This Row],[Retention amount]],"")</f>
        <v/>
      </c>
      <c r="R53" s="164">
        <f>Tabelle2[[#This Row],[Due Date]]-C52</f>
        <v>0</v>
      </c>
      <c r="S53" s="164">
        <f>Tabelle2[[#This Row],[Due Date]]-C52</f>
        <v>0</v>
      </c>
      <c r="T53" s="164">
        <f>DAYS360(C52,Tabelle2[[#This Row],[Due Date]],TRUE)</f>
        <v>0</v>
      </c>
      <c r="U53" s="35" t="str">
        <f>IFERROR(ROUND(Tabelle2[[#This Row],[Remaining Capital]]*Tabelle2[[#This Row],[interest rate]]*Tabelle3[[#This Row],[Days act/360]]/360,2),"")</f>
        <v/>
      </c>
      <c r="V53" s="35" t="str">
        <f>IFERROR(ROUND(Tabelle2[[#This Row],[Remaining Capital]]*Tabelle2[[#This Row],[interest rate]]*Tabelle3[[#This Row],[Days act/365]]/365,2),"")</f>
        <v/>
      </c>
      <c r="W53" s="35" t="str">
        <f>IFERROR(ROUND(Tabelle2[[#This Row],[Remaining Capital]]*Tabelle2[[#This Row],[interest rate]]*Tabelle3[[#This Row],[Days 30/360]]/360,2),"")</f>
        <v/>
      </c>
    </row>
    <row r="54" spans="2:23" ht="24" customHeight="1">
      <c r="B54" s="72"/>
      <c r="C54" s="72"/>
      <c r="D54" s="54" t="str">
        <f t="shared" si="1"/>
        <v/>
      </c>
      <c r="E54" s="55" t="str">
        <f>IF(ISBLANK(Tabelle2[[#This Row],[Due Date]]),"",Währung)</f>
        <v/>
      </c>
      <c r="F54" s="56">
        <f t="shared" si="2"/>
        <v>0</v>
      </c>
      <c r="G54" s="56">
        <f>IFERROR(IF((Restkapital-Kapitalrate)&gt;100,Kapitalrate,Kapitalrate+(Restkapital-Kapitalrate)),"")</f>
        <v>0</v>
      </c>
      <c r="H54" s="73"/>
      <c r="I54" s="74"/>
      <c r="J54" s="57" t="str">
        <f>IF(ISBLANK(Tabelle2[[#This Row],[Euribor/ Libor]]),"",IF(Zerofloor=1,IF(Satz&lt;0,0+Marge,Satz+Marge),Satz+Marge))</f>
        <v/>
      </c>
      <c r="K54" s="58" t="str">
        <f>IF(Zinsmethode=1,Tabelle3[[#This Row],[Interest act/360]],IF(Zinsmethode=2,Tabelle3[[#This Row],[Interest act/365]],IF(Zinsmethode=3,Tabelle3[[#This Row],[Interest 30/360]],"")))</f>
        <v/>
      </c>
      <c r="L54" s="73"/>
      <c r="M54" s="72"/>
      <c r="N54" s="58" t="str">
        <f>IF(Tabelle2[[#This Row],[Status]]="Entschädigung beantragt",Tabelle2[[#This Row],[Instalment]]-Tabelle2[[#This Row],[(partially) paid amount]]+Tabelle2[[#This Row],[interest amount]]-Tabelle2[[#This Row],[(partially) paid interst amount]],"")</f>
        <v/>
      </c>
      <c r="O54" s="58" t="str">
        <f>IFERROR(ROUND(SB_Betrag*Tabelle2[[#This Row],[Residue after deduction]],2),"")</f>
        <v/>
      </c>
      <c r="P54" s="58" t="str">
        <f>IFERROR(Tabelle2[[#This Row],[Residue after deduction]]-Tabelle2[[#This Row],[Retention amount]],"")</f>
        <v/>
      </c>
      <c r="R54" s="164">
        <f>Tabelle2[[#This Row],[Due Date]]-C53</f>
        <v>0</v>
      </c>
      <c r="S54" s="164">
        <f>Tabelle2[[#This Row],[Due Date]]-C53</f>
        <v>0</v>
      </c>
      <c r="T54" s="164">
        <f>DAYS360(C53,Tabelle2[[#This Row],[Due Date]],TRUE)</f>
        <v>0</v>
      </c>
      <c r="U54" s="35" t="str">
        <f>IFERROR(ROUND(Tabelle2[[#This Row],[Remaining Capital]]*Tabelle2[[#This Row],[interest rate]]*Tabelle3[[#This Row],[Days act/360]]/360,2),"")</f>
        <v/>
      </c>
      <c r="V54" s="35" t="str">
        <f>IFERROR(ROUND(Tabelle2[[#This Row],[Remaining Capital]]*Tabelle2[[#This Row],[interest rate]]*Tabelle3[[#This Row],[Days act/365]]/365,2),"")</f>
        <v/>
      </c>
      <c r="W54" s="35" t="str">
        <f>IFERROR(ROUND(Tabelle2[[#This Row],[Remaining Capital]]*Tabelle2[[#This Row],[interest rate]]*Tabelle3[[#This Row],[Days 30/360]]/360,2),"")</f>
        <v/>
      </c>
    </row>
    <row r="55" spans="2:23" ht="24" customHeight="1">
      <c r="B55" s="72"/>
      <c r="C55" s="72"/>
      <c r="D55" s="54" t="str">
        <f t="shared" si="1"/>
        <v/>
      </c>
      <c r="E55" s="55" t="str">
        <f>IF(ISBLANK(Tabelle2[[#This Row],[Due Date]]),"",Währung)</f>
        <v/>
      </c>
      <c r="F55" s="56">
        <f>IFERROR(ROUND(F53-G53,2)*AND(F53&gt;G53),"")</f>
        <v>0</v>
      </c>
      <c r="G55" s="56">
        <f t="shared" si="0"/>
        <v>0</v>
      </c>
      <c r="H55" s="73"/>
      <c r="I55" s="74"/>
      <c r="J55" s="59" t="str">
        <f>IF(ISBLANK(Tabelle2[[#This Row],[Euribor/ Libor]]),"",IF(Zerofloor=1,IF(Satz&lt;0,0+Marge,Satz+Marge),Satz+Marge))</f>
        <v/>
      </c>
      <c r="K55" s="58" t="str">
        <f>IF(Zinsmethode=1,Tabelle3[[#This Row],[Interest act/360]],IF(Zinsmethode=2,Tabelle3[[#This Row],[Interest act/365]],IF(Zinsmethode=3,Tabelle3[[#This Row],[Interest 30/360]],"")))</f>
        <v/>
      </c>
      <c r="L55" s="73"/>
      <c r="M55" s="72"/>
      <c r="N55" s="58" t="str">
        <f>IF(Tabelle2[[#This Row],[Status]]="Entschädigung beantragt",Tabelle2[[#This Row],[Instalment]]-Tabelle2[[#This Row],[(partially) paid amount]]+Tabelle2[[#This Row],[interest amount]]-Tabelle2[[#This Row],[(partially) paid interst amount]],"")</f>
        <v/>
      </c>
      <c r="O55" s="58" t="str">
        <f>IFERROR(ROUND(SB_Betrag*Tabelle2[[#This Row],[Residue after deduction]],2),"")</f>
        <v/>
      </c>
      <c r="P55" s="58" t="str">
        <f>IFERROR(Tabelle2[[#This Row],[Residue after deduction]]-Tabelle2[[#This Row],[Retention amount]],"")</f>
        <v/>
      </c>
      <c r="R55" s="164">
        <f>Tabelle2[[#This Row],[Due Date]]-C54</f>
        <v>0</v>
      </c>
      <c r="S55" s="164">
        <f>Tabelle2[[#This Row],[Due Date]]-C54</f>
        <v>0</v>
      </c>
      <c r="T55" s="164">
        <f>DAYS360(C54,Tabelle2[[#This Row],[Due Date]],TRUE)</f>
        <v>0</v>
      </c>
      <c r="U55" s="35" t="str">
        <f>IFERROR(ROUND(Tabelle2[[#This Row],[Remaining Capital]]*Tabelle2[[#This Row],[interest rate]]*Tabelle3[[#This Row],[Days act/360]]/360,2),"")</f>
        <v/>
      </c>
      <c r="V55" s="35" t="str">
        <f>IFERROR(ROUND(Tabelle2[[#This Row],[Remaining Capital]]*Tabelle2[[#This Row],[interest rate]]*Tabelle3[[#This Row],[Days act/365]]/365,2),"")</f>
        <v/>
      </c>
      <c r="W55" s="35" t="str">
        <f>IFERROR(ROUND(Tabelle2[[#This Row],[Remaining Capital]]*Tabelle2[[#This Row],[interest rate]]*Tabelle3[[#This Row],[Days 30/360]]/360,2),"")</f>
        <v/>
      </c>
    </row>
    <row r="56" spans="2:23" ht="24" customHeight="1">
      <c r="B56" s="72"/>
      <c r="C56" s="72"/>
      <c r="D56" s="54" t="str">
        <f t="shared" si="1"/>
        <v/>
      </c>
      <c r="E56" s="55" t="str">
        <f>IF(ISBLANK(Tabelle2[[#This Row],[Due Date]]),"",Währung)</f>
        <v/>
      </c>
      <c r="F56" s="56">
        <f t="shared" si="2"/>
        <v>0</v>
      </c>
      <c r="G56" s="56">
        <f t="shared" si="0"/>
        <v>0</v>
      </c>
      <c r="H56" s="73"/>
      <c r="I56" s="74"/>
      <c r="J56" s="59" t="str">
        <f>IF(ISBLANK(Tabelle2[[#This Row],[Euribor/ Libor]]),"",IF(Zerofloor=1,IF(Satz&lt;0,0+Marge,Satz+Marge),Satz+Marge))</f>
        <v/>
      </c>
      <c r="K56" s="58" t="str">
        <f>IF(Zinsmethode=1,Tabelle3[[#This Row],[Interest act/360]],IF(Zinsmethode=2,Tabelle3[[#This Row],[Interest act/365]],IF(Zinsmethode=3,Tabelle3[[#This Row],[Interest 30/360]],"")))</f>
        <v/>
      </c>
      <c r="L56" s="73"/>
      <c r="M56" s="72"/>
      <c r="N56" s="58" t="str">
        <f>IF(Tabelle2[[#This Row],[Status]]="Entschädigung beantragt",Tabelle2[[#This Row],[Instalment]]-Tabelle2[[#This Row],[(partially) paid amount]]+Tabelle2[[#This Row],[interest amount]]-Tabelle2[[#This Row],[(partially) paid interst amount]],"")</f>
        <v/>
      </c>
      <c r="O56" s="58" t="str">
        <f>IFERROR(ROUND(SB_Betrag*Tabelle2[[#This Row],[Residue after deduction]],2),"")</f>
        <v/>
      </c>
      <c r="P56" s="58" t="str">
        <f>IFERROR(Tabelle2[[#This Row],[Residue after deduction]]-Tabelle2[[#This Row],[Retention amount]],"")</f>
        <v/>
      </c>
      <c r="R56" s="164">
        <f>Tabelle2[[#This Row],[Due Date]]-C55</f>
        <v>0</v>
      </c>
      <c r="S56" s="164">
        <f>Tabelle2[[#This Row],[Due Date]]-C55</f>
        <v>0</v>
      </c>
      <c r="T56" s="164">
        <f>DAYS360(C55,Tabelle2[[#This Row],[Due Date]],TRUE)</f>
        <v>0</v>
      </c>
      <c r="U56" s="35" t="str">
        <f>IFERROR(ROUND(Tabelle2[[#This Row],[Remaining Capital]]*Tabelle2[[#This Row],[interest rate]]*Tabelle3[[#This Row],[Days act/360]]/360,2),"")</f>
        <v/>
      </c>
      <c r="V56" s="35" t="str">
        <f>IFERROR(ROUND(Tabelle2[[#This Row],[Remaining Capital]]*Tabelle2[[#This Row],[interest rate]]*Tabelle3[[#This Row],[Days act/365]]/365,2),"")</f>
        <v/>
      </c>
      <c r="W56" s="35" t="str">
        <f>IFERROR(ROUND(Tabelle2[[#This Row],[Remaining Capital]]*Tabelle2[[#This Row],[interest rate]]*Tabelle3[[#This Row],[Days 30/360]]/360,2),"")</f>
        <v/>
      </c>
    </row>
    <row r="57" spans="2:23" ht="24" customHeight="1">
      <c r="B57" s="72"/>
      <c r="C57" s="72"/>
      <c r="D57" s="54" t="str">
        <f t="shared" si="1"/>
        <v/>
      </c>
      <c r="E57" s="55" t="str">
        <f>IF(ISBLANK(Tabelle2[[#This Row],[Due Date]]),"",Währung)</f>
        <v/>
      </c>
      <c r="F57" s="56">
        <f t="shared" si="2"/>
        <v>0</v>
      </c>
      <c r="G57" s="56">
        <f>IFERROR(IF((Restkapital-Kapitalrate)&gt;100,Kapitalrate,Kapitalrate+(Restkapital-Kapitalrate)),"")</f>
        <v>0</v>
      </c>
      <c r="H57" s="73"/>
      <c r="I57" s="74"/>
      <c r="J57" s="59" t="str">
        <f>IF(ISBLANK(Tabelle2[[#This Row],[Euribor/ Libor]]),"",IF(Zerofloor=1,IF(Satz&lt;0,0+Marge,Satz+Marge),Satz+Marge))</f>
        <v/>
      </c>
      <c r="K57" s="58" t="str">
        <f>IF(Zinsmethode=1,Tabelle3[[#This Row],[Interest act/360]],IF(Zinsmethode=2,Tabelle3[[#This Row],[Interest act/365]],IF(Zinsmethode=3,Tabelle3[[#This Row],[Interest 30/360]],"")))</f>
        <v/>
      </c>
      <c r="L57" s="73"/>
      <c r="M57" s="72"/>
      <c r="N57" s="58" t="str">
        <f>IF(Tabelle2[[#This Row],[Status]]="Entschädigung beantragt",Tabelle2[[#This Row],[Instalment]]-Tabelle2[[#This Row],[(partially) paid amount]]+Tabelle2[[#This Row],[interest amount]]-Tabelle2[[#This Row],[(partially) paid interst amount]],"")</f>
        <v/>
      </c>
      <c r="O57" s="58" t="str">
        <f>IFERROR(ROUND(SB_Betrag*Tabelle2[[#This Row],[Residue after deduction]],2),"")</f>
        <v/>
      </c>
      <c r="P57" s="58" t="str">
        <f>IFERROR(Tabelle2[[#This Row],[Residue after deduction]]-Tabelle2[[#This Row],[Retention amount]],"")</f>
        <v/>
      </c>
      <c r="R57" s="164">
        <f>Tabelle2[[#This Row],[Due Date]]-C56</f>
        <v>0</v>
      </c>
      <c r="S57" s="164">
        <f>Tabelle2[[#This Row],[Due Date]]-C56</f>
        <v>0</v>
      </c>
      <c r="T57" s="164">
        <f>DAYS360(C56,Tabelle2[[#This Row],[Due Date]],TRUE)</f>
        <v>0</v>
      </c>
      <c r="U57" s="35" t="str">
        <f>IFERROR(ROUND(Tabelle2[[#This Row],[Remaining Capital]]*Tabelle2[[#This Row],[interest rate]]*Tabelle3[[#This Row],[Days act/360]]/360,2),"")</f>
        <v/>
      </c>
      <c r="V57" s="35" t="str">
        <f>IFERROR(ROUND(Tabelle2[[#This Row],[Remaining Capital]]*Tabelle2[[#This Row],[interest rate]]*Tabelle3[[#This Row],[Days act/365]]/365,2),"")</f>
        <v/>
      </c>
      <c r="W57" s="35" t="str">
        <f>IFERROR(ROUND(Tabelle2[[#This Row],[Remaining Capital]]*Tabelle2[[#This Row],[interest rate]]*Tabelle3[[#This Row],[Days 30/360]]/360,2),"")</f>
        <v/>
      </c>
    </row>
    <row r="58" spans="2:23" ht="24" customHeight="1">
      <c r="B58" s="72"/>
      <c r="C58" s="72"/>
      <c r="D58" s="54" t="str">
        <f t="shared" si="1"/>
        <v/>
      </c>
      <c r="E58" s="55" t="str">
        <f>IF(ISBLANK(Tabelle2[[#This Row],[Due Date]]),"",Währung)</f>
        <v/>
      </c>
      <c r="F58" s="56">
        <f t="shared" si="2"/>
        <v>0</v>
      </c>
      <c r="G58" s="56">
        <f>IFERROR(IF((Restkapital-Kapitalrate)&gt;100,Kapitalrate,Kapitalrate+(Restkapital-Kapitalrate)),"")</f>
        <v>0</v>
      </c>
      <c r="H58" s="73"/>
      <c r="I58" s="74"/>
      <c r="J58" s="59" t="str">
        <f>IF(ISBLANK(Tabelle2[[#This Row],[Euribor/ Libor]]),"",IF(Zerofloor=1,IF(Satz&lt;0,0+Marge,Satz+Marge),Satz+Marge))</f>
        <v/>
      </c>
      <c r="K58" s="58" t="str">
        <f>IF(Zinsmethode=1,Tabelle3[[#This Row],[Interest act/360]],IF(Zinsmethode=2,Tabelle3[[#This Row],[Interest act/365]],IF(Zinsmethode=3,Tabelle3[[#This Row],[Interest 30/360]],"")))</f>
        <v/>
      </c>
      <c r="L58" s="73"/>
      <c r="M58" s="72"/>
      <c r="N58" s="58" t="str">
        <f>IF(Tabelle2[[#This Row],[Status]]="Entschädigung beantragt",Tabelle2[[#This Row],[Instalment]]-Tabelle2[[#This Row],[(partially) paid amount]]+Tabelle2[[#This Row],[interest amount]]-Tabelle2[[#This Row],[(partially) paid interst amount]],"")</f>
        <v/>
      </c>
      <c r="O58" s="58" t="str">
        <f>IFERROR(ROUND(SB_Betrag*Tabelle2[[#This Row],[Residue after deduction]],2),"")</f>
        <v/>
      </c>
      <c r="P58" s="58" t="str">
        <f>IFERROR(Tabelle2[[#This Row],[Residue after deduction]]-Tabelle2[[#This Row],[Retention amount]],"")</f>
        <v/>
      </c>
      <c r="R58" s="164">
        <f>Tabelle2[[#This Row],[Due Date]]-C57</f>
        <v>0</v>
      </c>
      <c r="S58" s="164">
        <f>Tabelle2[[#This Row],[Due Date]]-C57</f>
        <v>0</v>
      </c>
      <c r="T58" s="164">
        <f>DAYS360(C57,Tabelle2[[#This Row],[Due Date]],TRUE)</f>
        <v>0</v>
      </c>
      <c r="U58" s="35" t="str">
        <f>IFERROR(ROUND(Tabelle2[[#This Row],[Remaining Capital]]*Tabelle2[[#This Row],[interest rate]]*Tabelle3[[#This Row],[Days act/360]]/360,2),"")</f>
        <v/>
      </c>
      <c r="V58" s="35" t="str">
        <f>IFERROR(ROUND(Tabelle2[[#This Row],[Remaining Capital]]*Tabelle2[[#This Row],[interest rate]]*Tabelle3[[#This Row],[Days act/365]]/365,2),"")</f>
        <v/>
      </c>
      <c r="W58" s="35" t="str">
        <f>IFERROR(ROUND(Tabelle2[[#This Row],[Remaining Capital]]*Tabelle2[[#This Row],[interest rate]]*Tabelle3[[#This Row],[Days 30/360]]/360,2),"")</f>
        <v/>
      </c>
    </row>
    <row r="59" spans="2:23" ht="24" customHeight="1">
      <c r="B59" s="72"/>
      <c r="C59" s="72"/>
      <c r="D59" s="54" t="str">
        <f t="shared" si="1"/>
        <v/>
      </c>
      <c r="E59" s="55" t="str">
        <f>IF(ISBLANK(Tabelle2[[#This Row],[Due Date]]),"",Währung)</f>
        <v/>
      </c>
      <c r="F59" s="56">
        <f t="shared" si="2"/>
        <v>0</v>
      </c>
      <c r="G59" s="56">
        <f>IFERROR(IF((Restkapital-Kapitalrate)&gt;100,Kapitalrate,Kapitalrate+(Restkapital-Kapitalrate)),"")</f>
        <v>0</v>
      </c>
      <c r="H59" s="73"/>
      <c r="I59" s="74"/>
      <c r="J59" s="59" t="str">
        <f>IF(ISBLANK(Tabelle2[[#This Row],[Euribor/ Libor]]),"",IF(Zerofloor=1,IF(Satz&lt;0,0+Marge,Satz+Marge),Satz+Marge))</f>
        <v/>
      </c>
      <c r="K59" s="58" t="str">
        <f>IF(Zinsmethode=1,Tabelle3[[#This Row],[Interest act/360]],IF(Zinsmethode=2,Tabelle3[[#This Row],[Interest act/365]],IF(Zinsmethode=3,Tabelle3[[#This Row],[Interest 30/360]],"")))</f>
        <v/>
      </c>
      <c r="L59" s="73"/>
      <c r="M59" s="72"/>
      <c r="N59" s="58" t="str">
        <f>IF(Tabelle2[[#This Row],[Status]]="Entschädigung beantragt",Tabelle2[[#This Row],[Instalment]]-Tabelle2[[#This Row],[(partially) paid amount]]+Tabelle2[[#This Row],[interest amount]]-Tabelle2[[#This Row],[(partially) paid interst amount]],"")</f>
        <v/>
      </c>
      <c r="O59" s="58" t="str">
        <f>IFERROR(ROUND(SB_Betrag*Tabelle2[[#This Row],[Residue after deduction]],2),"")</f>
        <v/>
      </c>
      <c r="P59" s="58" t="str">
        <f>IFERROR(Tabelle2[[#This Row],[Residue after deduction]]-Tabelle2[[#This Row],[Retention amount]],"")</f>
        <v/>
      </c>
      <c r="R59" s="164">
        <f>Tabelle2[[#This Row],[Due Date]]-C58</f>
        <v>0</v>
      </c>
      <c r="S59" s="164">
        <f>Tabelle2[[#This Row],[Due Date]]-C58</f>
        <v>0</v>
      </c>
      <c r="T59" s="164">
        <f>DAYS360(C58,Tabelle2[[#This Row],[Due Date]],TRUE)</f>
        <v>0</v>
      </c>
      <c r="U59" s="35" t="str">
        <f>IFERROR(ROUND(Tabelle2[[#This Row],[Remaining Capital]]*Tabelle2[[#This Row],[interest rate]]*Tabelle3[[#This Row],[Days act/360]]/360,2),"")</f>
        <v/>
      </c>
      <c r="V59" s="35" t="str">
        <f>IFERROR(ROUND(Tabelle2[[#This Row],[Remaining Capital]]*Tabelle2[[#This Row],[interest rate]]*Tabelle3[[#This Row],[Days act/365]]/365,2),"")</f>
        <v/>
      </c>
      <c r="W59" s="35" t="str">
        <f>IFERROR(ROUND(Tabelle2[[#This Row],[Remaining Capital]]*Tabelle2[[#This Row],[interest rate]]*Tabelle3[[#This Row],[Days 30/360]]/360,2),"")</f>
        <v/>
      </c>
    </row>
    <row r="60" spans="2:23" ht="24" customHeight="1">
      <c r="B60" s="72"/>
      <c r="C60" s="72"/>
      <c r="D60" s="54" t="str">
        <f t="shared" si="1"/>
        <v/>
      </c>
      <c r="E60" s="55" t="str">
        <f>IF(ISBLANK(Tabelle2[[#This Row],[Due Date]]),"",Währung)</f>
        <v/>
      </c>
      <c r="F60" s="56">
        <f>IFERROR(ROUND(F56-G56,2)*AND(F56&gt;G56),"")</f>
        <v>0</v>
      </c>
      <c r="G60" s="56">
        <f t="shared" si="0"/>
        <v>0</v>
      </c>
      <c r="H60" s="73"/>
      <c r="I60" s="74"/>
      <c r="J60" s="59" t="str">
        <f>IF(ISBLANK(Tabelle2[[#This Row],[Euribor/ Libor]]),"",IF(Zerofloor=1,IF(Satz&lt;0,0+Marge,Satz+Marge),Satz+Marge))</f>
        <v/>
      </c>
      <c r="K60" s="58">
        <f>IF(Zinsmethode=1,Tabelle3[[#This Row],[Interest act/360]],IF(Zinsmethode=2,Tabelle3[[#This Row],[Interest act/365]],IF(Zinsmethode=3,Tabelle3[[#This Row],[Interest 30/360]],"")))</f>
        <v>0</v>
      </c>
      <c r="L60" s="73"/>
      <c r="M60" s="72"/>
      <c r="N60" s="58" t="str">
        <f>IF(Tabelle2[[#This Row],[Status]]="Entschädigung beantragt",Tabelle2[[#This Row],[Instalment]]-Tabelle2[[#This Row],[(partially) paid amount]]+Tabelle2[[#This Row],[interest amount]]-Tabelle2[[#This Row],[(partially) paid interst amount]],"")</f>
        <v/>
      </c>
      <c r="O60" s="58" t="str">
        <f>IFERROR(ROUND(SB_Betrag*Tabelle2[[#This Row],[Residue after deduction]],2),"")</f>
        <v/>
      </c>
      <c r="P60" s="58" t="str">
        <f>IFERROR(Tabelle2[[#This Row],[Residue after deduction]]-Tabelle2[[#This Row],[Retention amount]],"")</f>
        <v/>
      </c>
      <c r="R60" s="164">
        <f>Tabelle2[[#This Row],[Due Date]]-C59</f>
        <v>0</v>
      </c>
      <c r="S60" s="164">
        <f>Tabelle2[[#This Row],[Due Date]]-C59</f>
        <v>0</v>
      </c>
      <c r="T60" s="164">
        <f>DAYS360(C59,Tabelle2[[#This Row],[Due Date]],TRUE)</f>
        <v>0</v>
      </c>
      <c r="U60" s="35" t="str">
        <f>IFERROR(ROUND(Tabelle2[[#This Row],[Remaining Capital]]*Tabelle2[[#This Row],[interest rate]]*Tabelle3[[#This Row],[Days act/360]]/360,2),"")</f>
        <v/>
      </c>
      <c r="V60" s="35" t="str">
        <f>IFERROR(ROUND(Tabelle2[[#This Row],[Remaining Capital]]*Tabelle2[[#This Row],[interest rate]]*Tabelle3[[#This Row],[Days act/365]]/365,2),"")</f>
        <v/>
      </c>
      <c r="W60" s="35"/>
    </row>
    <row r="61" spans="2:23" ht="24" customHeight="1">
      <c r="B61" s="72"/>
      <c r="C61" s="72"/>
      <c r="D61" s="54" t="str">
        <f t="shared" si="1"/>
        <v/>
      </c>
      <c r="E61" s="165" t="str">
        <f>IF(ISBLANK(Tabelle2[[#This Row],[Due Date]]),"",Währung)</f>
        <v/>
      </c>
      <c r="F61" s="166"/>
      <c r="G61" s="56">
        <f t="shared" si="0"/>
        <v>0</v>
      </c>
      <c r="H61" s="73"/>
      <c r="I61" s="74"/>
      <c r="J61" s="57" t="str">
        <f>IF(ISBLANK(Tabelle2[[#This Row],[Euribor/ Libor]]),"",IF(Zerofloor=1,IF(Satz&lt;0,0+Marge,Satz+Marge),Satz+Marge))</f>
        <v/>
      </c>
      <c r="K61" s="58">
        <f>IF(Zinsmethode=1,Tabelle3[[#This Row],[Interest act/360]],IF(Zinsmethode=2,Tabelle3[[#This Row],[Interest act/365]],IF(Zinsmethode=3,Tabelle3[[#This Row],[Interest 30/360]],"")))</f>
        <v>0</v>
      </c>
      <c r="L61" s="167"/>
      <c r="M61" s="72"/>
      <c r="N61" s="168" t="str">
        <f>IF(Tabelle2[[#This Row],[Status]]="Entschädigung beantragt",Tabelle2[[#This Row],[Instalment]]-Tabelle2[[#This Row],[(partially) paid amount]]+Tabelle2[[#This Row],[interest amount]]-Tabelle2[[#This Row],[(partially) paid interst amount]],"")</f>
        <v/>
      </c>
      <c r="O61" s="168" t="str">
        <f>IFERROR(ROUND(SB_Betrag*Tabelle2[[#This Row],[Residue after deduction]],2),"")</f>
        <v/>
      </c>
      <c r="P61" s="168" t="str">
        <f>IFERROR(Tabelle2[[#This Row],[Residue after deduction]]-Tabelle2[[#This Row],[Retention amount]],"")</f>
        <v/>
      </c>
      <c r="R61" s="164">
        <f>Tabelle2[[#This Row],[Due Date]]-C60</f>
        <v>0</v>
      </c>
      <c r="S61" s="164">
        <f>Tabelle2[[#This Row],[Due Date]]-C60</f>
        <v>0</v>
      </c>
      <c r="T61" s="164">
        <f>DAYS360(C60,Tabelle2[[#This Row],[Due Date]],TRUE)</f>
        <v>0</v>
      </c>
      <c r="U61" s="35" t="str">
        <f>IFERROR(ROUND(Tabelle2[[#This Row],[Remaining Capital]]*Tabelle2[[#This Row],[interest rate]]*Tabelle3[[#This Row],[Days act/360]]/360,2),"")</f>
        <v/>
      </c>
      <c r="V61" s="35" t="str">
        <f>IFERROR(ROUND(Tabelle2[[#This Row],[Remaining Capital]]*Tabelle2[[#This Row],[interest rate]]*Tabelle3[[#This Row],[Days act/365]]/365,2),"")</f>
        <v/>
      </c>
      <c r="W61" s="35"/>
    </row>
    <row r="62" spans="2:23">
      <c r="B62" s="150"/>
      <c r="C62" s="150"/>
      <c r="D62" s="151"/>
      <c r="E62" s="151"/>
      <c r="F62" s="152"/>
      <c r="G62" s="153">
        <f>SUBTOTAL(109,Tabelle2[Instalment])</f>
        <v>0</v>
      </c>
      <c r="H62" s="154">
        <f>SUBTOTAL(109,H31:H61)</f>
        <v>0</v>
      </c>
      <c r="I62" s="155"/>
      <c r="J62" s="156"/>
      <c r="K62" s="156">
        <f>SUBTOTAL(109,K31:K61)</f>
        <v>0</v>
      </c>
      <c r="L62" s="154">
        <f>SUBTOTAL(109,L31:L61)</f>
        <v>0</v>
      </c>
      <c r="M62" s="163"/>
      <c r="N62" s="157">
        <f>SUBTOTAL(109,N31:N61)</f>
        <v>0</v>
      </c>
      <c r="O62" s="157"/>
      <c r="P62" s="157">
        <f>SUBTOTAL(109,Tabelle2[Indemnification amount])</f>
        <v>0</v>
      </c>
      <c r="R62" s="108"/>
      <c r="S62" s="108"/>
    </row>
    <row r="63" spans="2:23">
      <c r="B63" s="46" t="s">
        <v>131</v>
      </c>
      <c r="C63" s="40"/>
      <c r="D63" s="40"/>
      <c r="E63" s="40"/>
      <c r="F63" s="40"/>
      <c r="G63" s="47" t="b">
        <f>IF(F33=SUM(G33:G60),TRUE,SUM(G33:G62))</f>
        <v>1</v>
      </c>
      <c r="H63" s="40"/>
      <c r="I63" s="40"/>
      <c r="J63" s="40"/>
      <c r="K63" s="47" t="b">
        <f>IF(Vorlaufzinsen+Tabelle2[[#Totals],[interest amount]]&lt;=D27,TRUE,FALSE)</f>
        <v>1</v>
      </c>
      <c r="R63" s="108"/>
      <c r="S63" s="108"/>
    </row>
    <row r="64" spans="2:23">
      <c r="C64" s="34"/>
      <c r="D64" s="33"/>
      <c r="E64" s="33"/>
      <c r="F64" s="33"/>
      <c r="G64" s="33"/>
      <c r="H64" s="33"/>
      <c r="I64" s="33"/>
      <c r="J64" s="33"/>
      <c r="K64" s="33"/>
      <c r="R64" s="108"/>
      <c r="S64" s="108"/>
    </row>
    <row r="65" spans="2:15">
      <c r="C65" s="34"/>
      <c r="D65" s="33"/>
      <c r="E65" s="33"/>
      <c r="F65" s="33"/>
      <c r="G65" s="33"/>
      <c r="H65" s="33"/>
      <c r="I65" s="33"/>
      <c r="J65" s="33"/>
      <c r="K65" s="33"/>
    </row>
    <row r="66" spans="2:15" ht="36" customHeight="1">
      <c r="B66" s="116" t="s">
        <v>77</v>
      </c>
      <c r="C66" s="39"/>
      <c r="D66" s="39"/>
    </row>
    <row r="67" spans="2:15" ht="36" customHeight="1">
      <c r="B67" s="173"/>
      <c r="C67" s="174"/>
      <c r="D67" s="174"/>
      <c r="E67" s="174"/>
      <c r="F67" s="174"/>
      <c r="G67" s="174"/>
      <c r="H67" s="174"/>
      <c r="I67" s="174"/>
      <c r="J67" s="174"/>
      <c r="K67" s="174"/>
      <c r="L67" s="174"/>
      <c r="M67" s="174"/>
      <c r="N67" s="174"/>
      <c r="O67" s="174"/>
    </row>
    <row r="68" spans="2:15" ht="36" customHeight="1">
      <c r="B68" s="174"/>
      <c r="C68" s="174"/>
      <c r="D68" s="174"/>
      <c r="E68" s="174"/>
      <c r="F68" s="174"/>
      <c r="G68" s="174"/>
      <c r="H68" s="174"/>
      <c r="I68" s="174"/>
      <c r="J68" s="174"/>
      <c r="K68" s="174"/>
      <c r="L68" s="174"/>
      <c r="M68" s="174"/>
      <c r="N68" s="174"/>
      <c r="O68" s="174"/>
    </row>
    <row r="69" spans="2:15" ht="36" customHeight="1">
      <c r="B69" s="174"/>
      <c r="C69" s="174"/>
      <c r="D69" s="174"/>
      <c r="E69" s="174"/>
      <c r="F69" s="174"/>
      <c r="G69" s="174"/>
      <c r="H69" s="174"/>
      <c r="I69" s="174"/>
      <c r="J69" s="174"/>
      <c r="K69" s="174"/>
      <c r="L69" s="174"/>
      <c r="M69" s="174"/>
      <c r="N69" s="174"/>
      <c r="O69" s="174"/>
    </row>
    <row r="70" spans="2:15" ht="36" customHeight="1">
      <c r="B70" s="174"/>
      <c r="C70" s="174"/>
      <c r="D70" s="174"/>
      <c r="E70" s="174"/>
      <c r="F70" s="174"/>
      <c r="G70" s="174"/>
      <c r="H70" s="174"/>
      <c r="I70" s="174"/>
      <c r="J70" s="174"/>
      <c r="K70" s="174"/>
      <c r="L70" s="174"/>
      <c r="M70" s="174"/>
      <c r="N70" s="174"/>
      <c r="O70" s="174"/>
    </row>
    <row r="71" spans="2:15" ht="36" customHeight="1">
      <c r="B71" s="174"/>
      <c r="C71" s="174"/>
      <c r="D71" s="174"/>
      <c r="E71" s="174"/>
      <c r="F71" s="174"/>
      <c r="G71" s="174"/>
      <c r="H71" s="174"/>
      <c r="I71" s="174"/>
      <c r="J71" s="174"/>
      <c r="K71" s="174"/>
      <c r="L71" s="174"/>
      <c r="M71" s="174"/>
      <c r="N71" s="174"/>
      <c r="O71" s="174"/>
    </row>
    <row r="72" spans="2:15" ht="36" customHeight="1">
      <c r="B72" s="174"/>
      <c r="C72" s="174"/>
      <c r="D72" s="174"/>
      <c r="E72" s="174"/>
      <c r="F72" s="174"/>
      <c r="G72" s="174"/>
      <c r="H72" s="174"/>
      <c r="I72" s="174"/>
      <c r="J72" s="174"/>
      <c r="K72" s="174"/>
      <c r="L72" s="174"/>
      <c r="M72" s="174"/>
      <c r="N72" s="174"/>
      <c r="O72" s="174"/>
    </row>
  </sheetData>
  <sheetProtection algorithmName="SHA-512" hashValue="ExhTJvenDzgymBJAFY16g+EE3NkpprDNb7S6f5Q9K9qAIpl5B78sLE0qpe+2fRsASwRTOkZit1ji/KKSJCaLWw==" saltValue="vQPY8t97UGOcZrbP3t65lg==" spinCount="100000" sheet="1" objects="1" scenarios="1"/>
  <mergeCells count="1">
    <mergeCell ref="B67:O72"/>
  </mergeCells>
  <conditionalFormatting sqref="I31:I61">
    <cfRule type="cellIs" dxfId="42" priority="5" operator="lessThan">
      <formula>0</formula>
    </cfRule>
  </conditionalFormatting>
  <conditionalFormatting sqref="G63">
    <cfRule type="cellIs" dxfId="41" priority="3" operator="equal">
      <formula>FALSE</formula>
    </cfRule>
    <cfRule type="cellIs" dxfId="40" priority="4" operator="equal">
      <formula>TRUE</formula>
    </cfRule>
  </conditionalFormatting>
  <conditionalFormatting sqref="K63">
    <cfRule type="cellIs" dxfId="39" priority="1" operator="equal">
      <formula>FALSE</formula>
    </cfRule>
    <cfRule type="cellIs" dxfId="38" priority="2" operator="equal">
      <formula>TRUE</formula>
    </cfRule>
  </conditionalFormatting>
  <pageMargins left="0.25" right="0.25" top="0.75" bottom="0.75" header="0.3" footer="0.3"/>
  <pageSetup paperSize="9" scale="35" fitToWidth="0" orientation="landscape" r:id="rId1"/>
  <ignoredErrors>
    <ignoredError sqref="J60 E60 E45:E56 J31:J56 E57:E59 J57:J59 N57:N59 C24:C27 D25:D27 E31:E44" emptyCellReference="1"/>
    <ignoredError sqref="F55" formula="1"/>
    <ignoredError sqref="R64 C31" calculatedColumn="1"/>
    <ignoredError sqref="N60 N31:N56" emptyCellReference="1" calculatedColumn="1"/>
  </ignoredErrors>
  <drawing r:id="rId2"/>
  <legacyDrawing r:id="rId3"/>
  <mc:AlternateContent xmlns:mc="http://schemas.openxmlformats.org/markup-compatibility/2006">
    <mc:Choice Requires="x14">
      <controls>
        <mc:AlternateContent xmlns:mc="http://schemas.openxmlformats.org/markup-compatibility/2006">
          <mc:Choice Requires="x14">
            <control shapeId="3077" r:id="rId4" name="Drop Down 5">
              <controlPr locked="0" defaultSize="0" autoLine="0" autoPict="0" altText="Bitte geben Sie die verwendete Zinsmethode an._x000a_">
                <anchor moveWithCells="1">
                  <from>
                    <xdr:col>2</xdr:col>
                    <xdr:colOff>0</xdr:colOff>
                    <xdr:row>17</xdr:row>
                    <xdr:rowOff>0</xdr:rowOff>
                  </from>
                  <to>
                    <xdr:col>3</xdr:col>
                    <xdr:colOff>0</xdr:colOff>
                    <xdr:row>17</xdr:row>
                    <xdr:rowOff>171450</xdr:rowOff>
                  </to>
                </anchor>
              </controlPr>
            </control>
          </mc:Choice>
        </mc:AlternateContent>
        <mc:AlternateContent xmlns:mc="http://schemas.openxmlformats.org/markup-compatibility/2006">
          <mc:Choice Requires="x14">
            <control shapeId="3078" r:id="rId5" name="Drop Down 6">
              <controlPr locked="0" defaultSize="0" autoLine="0" autoPict="0">
                <anchor moveWithCells="1">
                  <from>
                    <xdr:col>2</xdr:col>
                    <xdr:colOff>0</xdr:colOff>
                    <xdr:row>19</xdr:row>
                    <xdr:rowOff>19050</xdr:rowOff>
                  </from>
                  <to>
                    <xdr:col>3</xdr:col>
                    <xdr:colOff>0</xdr:colOff>
                    <xdr:row>19</xdr:row>
                    <xdr:rowOff>190500</xdr:rowOff>
                  </to>
                </anchor>
              </controlPr>
            </control>
          </mc:Choice>
        </mc:AlternateContent>
        <mc:AlternateContent xmlns:mc="http://schemas.openxmlformats.org/markup-compatibility/2006">
          <mc:Choice Requires="x14">
            <control shapeId="3127" r:id="rId6" name="Spinner 55">
              <controlPr defaultSize="0" autoPict="0">
                <anchor moveWithCells="1" sizeWithCells="1">
                  <from>
                    <xdr:col>3</xdr:col>
                    <xdr:colOff>9525</xdr:colOff>
                    <xdr:row>20</xdr:row>
                    <xdr:rowOff>171450</xdr:rowOff>
                  </from>
                  <to>
                    <xdr:col>3</xdr:col>
                    <xdr:colOff>419100</xdr:colOff>
                    <xdr:row>21</xdr:row>
                    <xdr:rowOff>180975</xdr:rowOff>
                  </to>
                </anchor>
              </controlPr>
            </control>
          </mc:Choice>
        </mc:AlternateContent>
      </controls>
    </mc:Choice>
  </mc:AlternateContent>
  <tableParts count="2">
    <tablePart r:id="rId7"/>
    <tablePart r:id="rId8"/>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Hilfsblatt!$A$34:$A$35</xm:f>
          </x14:formula1>
          <xm:sqref>C16</xm:sqref>
        </x14:dataValidation>
        <x14:dataValidation type="list" allowBlank="1" showInputMessage="1" showErrorMessage="1">
          <x14:formula1>
            <xm:f>Hilfsblatt!$A$44:$A$46</xm:f>
          </x14:formula1>
          <xm:sqref>C19</xm:sqref>
        </x14:dataValidation>
        <x14:dataValidation type="list" allowBlank="1" showInputMessage="1" showErrorMessage="1">
          <x14:formula1>
            <xm:f>Hilfsblatt!$A$53:$A$55</xm:f>
          </x14:formula1>
          <xm:sqref>C21</xm:sqref>
        </x14:dataValidation>
        <x14:dataValidation type="list" allowBlank="1" showInputMessage="1" showErrorMessage="1">
          <x14:formula1>
            <xm:f>Hilfsblatt!$C$34:$C$36</xm:f>
          </x14:formula1>
          <xm:sqref>B31:B61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Q56"/>
  <sheetViews>
    <sheetView showGridLines="0" zoomScaleNormal="100" workbookViewId="0">
      <pane ySplit="15" topLeftCell="A16" activePane="bottomLeft" state="frozen"/>
      <selection pane="bottomLeft" activeCell="E13" sqref="E13"/>
    </sheetView>
  </sheetViews>
  <sheetFormatPr baseColWidth="10" defaultRowHeight="14.25"/>
  <cols>
    <col min="2" max="3" width="14.69921875" customWidth="1"/>
    <col min="4" max="4" width="13.5" customWidth="1"/>
    <col min="5" max="5" width="20.19921875" customWidth="1"/>
    <col min="6" max="6" width="14.69921875" customWidth="1"/>
    <col min="7" max="7" width="22.69921875" customWidth="1"/>
    <col min="8" max="8" width="18.3984375" customWidth="1"/>
  </cols>
  <sheetData>
    <row r="12" spans="1:8">
      <c r="B12" s="161" t="s">
        <v>184</v>
      </c>
      <c r="C12" s="51" t="str">
        <f>IF(ISBLANK(VorgangsID),"",VorgangsID)</f>
        <v/>
      </c>
      <c r="D12" s="119" t="s">
        <v>64</v>
      </c>
      <c r="E12" s="51" t="str">
        <f>IF(ISBLANK(Country_AK_no),"",Country_AK_no)</f>
        <v/>
      </c>
      <c r="H12" s="162"/>
    </row>
    <row r="14" spans="1:8" s="91" customFormat="1" ht="21" customHeight="1">
      <c r="A14" s="90" t="s">
        <v>139</v>
      </c>
      <c r="D14" s="124"/>
    </row>
    <row r="15" spans="1:8" ht="38.25" customHeight="1">
      <c r="A15" s="175" t="s">
        <v>160</v>
      </c>
      <c r="B15" s="175"/>
      <c r="C15" s="175"/>
      <c r="D15" s="175"/>
      <c r="E15" s="175"/>
    </row>
    <row r="16" spans="1:8" ht="16.5" thickBot="1">
      <c r="H16" s="31" t="s">
        <v>66</v>
      </c>
    </row>
    <row r="17" spans="2:9" ht="15" thickBot="1">
      <c r="H17" s="114" t="s">
        <v>61</v>
      </c>
    </row>
    <row r="18" spans="2:9" ht="15" thickBot="1">
      <c r="H18" s="88" t="s">
        <v>65</v>
      </c>
    </row>
    <row r="20" spans="2:9">
      <c r="B20" s="82" t="s">
        <v>118</v>
      </c>
      <c r="C20" s="82" t="s">
        <v>119</v>
      </c>
      <c r="D20" s="82" t="s">
        <v>114</v>
      </c>
      <c r="E20" s="82" t="s">
        <v>120</v>
      </c>
      <c r="F20" s="82" t="s">
        <v>50</v>
      </c>
      <c r="G20" s="82" t="s">
        <v>121</v>
      </c>
      <c r="H20" s="128"/>
    </row>
    <row r="21" spans="2:9" ht="24" customHeight="1">
      <c r="B21" s="84"/>
      <c r="C21" s="112"/>
      <c r="D21" s="84"/>
      <c r="E21" s="84"/>
      <c r="F21" s="93" t="str">
        <f t="shared" ref="F21:F43" si="0">IF(ISBLANK(B21),"",Währung)</f>
        <v/>
      </c>
      <c r="G21" s="85"/>
      <c r="I21" s="19" t="s">
        <v>21</v>
      </c>
    </row>
    <row r="22" spans="2:9" ht="24" customHeight="1">
      <c r="B22" s="84"/>
      <c r="C22" s="112"/>
      <c r="D22" s="84"/>
      <c r="E22" s="84"/>
      <c r="F22" s="93" t="str">
        <f t="shared" si="0"/>
        <v/>
      </c>
      <c r="G22" s="86"/>
    </row>
    <row r="23" spans="2:9" ht="24" customHeight="1">
      <c r="B23" s="84"/>
      <c r="C23" s="112"/>
      <c r="D23" s="84"/>
      <c r="E23" s="84"/>
      <c r="F23" s="93" t="str">
        <f t="shared" si="0"/>
        <v/>
      </c>
      <c r="G23" s="86"/>
    </row>
    <row r="24" spans="2:9" ht="24" customHeight="1">
      <c r="B24" s="84"/>
      <c r="C24" s="112"/>
      <c r="D24" s="84"/>
      <c r="E24" s="84"/>
      <c r="F24" s="93" t="str">
        <f t="shared" si="0"/>
        <v/>
      </c>
      <c r="G24" s="86"/>
    </row>
    <row r="25" spans="2:9" ht="24" customHeight="1">
      <c r="B25" s="84"/>
      <c r="C25" s="112"/>
      <c r="D25" s="84"/>
      <c r="E25" s="84"/>
      <c r="F25" s="93" t="str">
        <f t="shared" si="0"/>
        <v/>
      </c>
      <c r="G25" s="86"/>
    </row>
    <row r="26" spans="2:9" ht="24" customHeight="1">
      <c r="B26" s="84"/>
      <c r="C26" s="112"/>
      <c r="D26" s="84"/>
      <c r="E26" s="84"/>
      <c r="F26" s="93" t="str">
        <f t="shared" si="0"/>
        <v/>
      </c>
      <c r="G26" s="86"/>
    </row>
    <row r="27" spans="2:9" ht="24" customHeight="1">
      <c r="B27" s="84"/>
      <c r="C27" s="112"/>
      <c r="D27" s="84"/>
      <c r="E27" s="84"/>
      <c r="F27" s="93" t="str">
        <f t="shared" si="0"/>
        <v/>
      </c>
      <c r="G27" s="86"/>
    </row>
    <row r="28" spans="2:9" ht="24" customHeight="1">
      <c r="B28" s="84"/>
      <c r="C28" s="112"/>
      <c r="D28" s="84"/>
      <c r="E28" s="84"/>
      <c r="F28" s="93" t="str">
        <f t="shared" si="0"/>
        <v/>
      </c>
      <c r="G28" s="86"/>
    </row>
    <row r="29" spans="2:9" ht="24" customHeight="1">
      <c r="B29" s="84"/>
      <c r="C29" s="112"/>
      <c r="D29" s="84"/>
      <c r="E29" s="84"/>
      <c r="F29" s="93" t="str">
        <f t="shared" si="0"/>
        <v/>
      </c>
      <c r="G29" s="86"/>
    </row>
    <row r="30" spans="2:9" ht="24" customHeight="1">
      <c r="B30" s="84"/>
      <c r="C30" s="112"/>
      <c r="D30" s="84"/>
      <c r="E30" s="84"/>
      <c r="F30" s="93" t="str">
        <f t="shared" si="0"/>
        <v/>
      </c>
      <c r="G30" s="86"/>
    </row>
    <row r="31" spans="2:9" ht="24" customHeight="1">
      <c r="B31" s="84"/>
      <c r="C31" s="112"/>
      <c r="D31" s="84"/>
      <c r="E31" s="84"/>
      <c r="F31" s="93" t="str">
        <f t="shared" si="0"/>
        <v/>
      </c>
      <c r="G31" s="86"/>
    </row>
    <row r="32" spans="2:9" ht="24" customHeight="1">
      <c r="B32" s="84"/>
      <c r="C32" s="112"/>
      <c r="D32" s="84"/>
      <c r="E32" s="84"/>
      <c r="F32" s="93" t="str">
        <f t="shared" si="0"/>
        <v/>
      </c>
      <c r="G32" s="86"/>
    </row>
    <row r="33" spans="2:17" ht="24" customHeight="1">
      <c r="B33" s="84"/>
      <c r="C33" s="112"/>
      <c r="D33" s="84"/>
      <c r="E33" s="84"/>
      <c r="F33" s="93" t="str">
        <f t="shared" si="0"/>
        <v/>
      </c>
      <c r="G33" s="86"/>
    </row>
    <row r="34" spans="2:17" ht="24" customHeight="1">
      <c r="B34" s="84"/>
      <c r="C34" s="112"/>
      <c r="D34" s="84"/>
      <c r="E34" s="84"/>
      <c r="F34" s="93" t="str">
        <f t="shared" si="0"/>
        <v/>
      </c>
      <c r="G34" s="86"/>
    </row>
    <row r="35" spans="2:17" ht="24" customHeight="1">
      <c r="B35" s="84"/>
      <c r="C35" s="112"/>
      <c r="D35" s="84"/>
      <c r="E35" s="84"/>
      <c r="F35" s="93" t="str">
        <f t="shared" si="0"/>
        <v/>
      </c>
      <c r="G35" s="86"/>
    </row>
    <row r="36" spans="2:17" ht="24" customHeight="1">
      <c r="B36" s="84"/>
      <c r="C36" s="112"/>
      <c r="D36" s="84"/>
      <c r="E36" s="84"/>
      <c r="F36" s="93" t="str">
        <f t="shared" si="0"/>
        <v/>
      </c>
      <c r="G36" s="86"/>
    </row>
    <row r="37" spans="2:17" ht="24" customHeight="1">
      <c r="B37" s="84"/>
      <c r="C37" s="112"/>
      <c r="D37" s="84"/>
      <c r="E37" s="84"/>
      <c r="F37" s="93" t="str">
        <f t="shared" si="0"/>
        <v/>
      </c>
      <c r="G37" s="86"/>
    </row>
    <row r="38" spans="2:17" ht="24" customHeight="1">
      <c r="B38" s="84"/>
      <c r="C38" s="112"/>
      <c r="D38" s="84"/>
      <c r="E38" s="84"/>
      <c r="F38" s="93" t="str">
        <f t="shared" si="0"/>
        <v/>
      </c>
      <c r="G38" s="86"/>
    </row>
    <row r="39" spans="2:17" ht="24" customHeight="1">
      <c r="B39" s="84"/>
      <c r="C39" s="112"/>
      <c r="D39" s="84"/>
      <c r="E39" s="84"/>
      <c r="F39" s="93" t="str">
        <f t="shared" si="0"/>
        <v/>
      </c>
      <c r="G39" s="86"/>
    </row>
    <row r="40" spans="2:17" ht="24" customHeight="1">
      <c r="B40" s="84"/>
      <c r="C40" s="112"/>
      <c r="D40" s="84"/>
      <c r="E40" s="84"/>
      <c r="F40" s="93" t="str">
        <f t="shared" si="0"/>
        <v/>
      </c>
      <c r="G40" s="86"/>
    </row>
    <row r="41" spans="2:17" ht="24" customHeight="1">
      <c r="B41" s="84"/>
      <c r="C41" s="112"/>
      <c r="D41" s="84"/>
      <c r="E41" s="84"/>
      <c r="F41" s="93" t="str">
        <f t="shared" si="0"/>
        <v/>
      </c>
      <c r="G41" s="86"/>
    </row>
    <row r="42" spans="2:17" ht="24" customHeight="1">
      <c r="B42" s="84"/>
      <c r="C42" s="112"/>
      <c r="D42" s="84"/>
      <c r="E42" s="84"/>
      <c r="F42" s="93" t="str">
        <f t="shared" si="0"/>
        <v/>
      </c>
      <c r="G42" s="86"/>
    </row>
    <row r="43" spans="2:17" ht="24" customHeight="1">
      <c r="B43" s="84"/>
      <c r="C43" s="112"/>
      <c r="D43" s="84"/>
      <c r="E43" s="84"/>
      <c r="F43" s="93" t="str">
        <f t="shared" si="0"/>
        <v/>
      </c>
      <c r="G43" s="86"/>
    </row>
    <row r="44" spans="2:17" ht="24" customHeight="1">
      <c r="B44" s="127" t="s">
        <v>159</v>
      </c>
      <c r="C44" s="92"/>
      <c r="D44" s="92"/>
      <c r="E44" s="89"/>
      <c r="F44" s="93" t="str">
        <f>IF((ISBLANK(Währung)),"",Währung)</f>
        <v/>
      </c>
      <c r="G44" s="87">
        <f>SUMIF(C21:C43,I21,G21:G43)</f>
        <v>0</v>
      </c>
    </row>
    <row r="45" spans="2:17" ht="24" customHeight="1">
      <c r="B45" s="92" t="s">
        <v>122</v>
      </c>
      <c r="C45" s="92"/>
      <c r="D45" s="92"/>
      <c r="E45" s="89"/>
      <c r="F45" s="93" t="str">
        <f>IF((ISBLANK(Währung)),"",Währung)</f>
        <v/>
      </c>
      <c r="G45" s="87">
        <f>SUM(G21:G43)</f>
        <v>0</v>
      </c>
    </row>
    <row r="47" spans="2:17">
      <c r="B47" s="116" t="s">
        <v>77</v>
      </c>
      <c r="C47" s="83"/>
      <c r="D47" s="83"/>
      <c r="E47" s="39"/>
      <c r="F47" s="39"/>
      <c r="G47" s="39"/>
    </row>
    <row r="48" spans="2:17">
      <c r="B48" s="173"/>
      <c r="C48" s="173"/>
      <c r="D48" s="173"/>
      <c r="E48" s="173"/>
      <c r="F48" s="173"/>
      <c r="G48" s="173"/>
      <c r="H48" s="109"/>
      <c r="I48" s="109"/>
      <c r="J48" s="109"/>
      <c r="K48" s="109"/>
      <c r="L48" s="109"/>
      <c r="M48" s="109"/>
      <c r="N48" s="109"/>
      <c r="O48" s="109"/>
      <c r="P48" s="109"/>
      <c r="Q48" s="109"/>
    </row>
    <row r="49" spans="2:17">
      <c r="B49" s="173"/>
      <c r="C49" s="173"/>
      <c r="D49" s="173"/>
      <c r="E49" s="173"/>
      <c r="F49" s="173"/>
      <c r="G49" s="173"/>
      <c r="H49" s="109"/>
      <c r="I49" s="109"/>
      <c r="J49" s="109"/>
      <c r="K49" s="109"/>
      <c r="L49" s="109"/>
      <c r="M49" s="109"/>
      <c r="N49" s="109"/>
      <c r="O49" s="109"/>
      <c r="P49" s="109"/>
      <c r="Q49" s="109"/>
    </row>
    <row r="50" spans="2:17">
      <c r="B50" s="173"/>
      <c r="C50" s="173"/>
      <c r="D50" s="173"/>
      <c r="E50" s="173"/>
      <c r="F50" s="173"/>
      <c r="G50" s="173"/>
      <c r="H50" s="109"/>
      <c r="I50" s="109"/>
      <c r="J50" s="109"/>
      <c r="K50" s="109"/>
      <c r="L50" s="109"/>
      <c r="M50" s="109"/>
      <c r="N50" s="109"/>
      <c r="O50" s="109"/>
      <c r="P50" s="109"/>
      <c r="Q50" s="109"/>
    </row>
    <row r="51" spans="2:17">
      <c r="B51" s="173"/>
      <c r="C51" s="173"/>
      <c r="D51" s="173"/>
      <c r="E51" s="173"/>
      <c r="F51" s="173"/>
      <c r="G51" s="173"/>
      <c r="H51" s="109"/>
      <c r="I51" s="109"/>
      <c r="J51" s="109"/>
      <c r="K51" s="109"/>
      <c r="L51" s="109"/>
      <c r="M51" s="109"/>
      <c r="N51" s="109"/>
      <c r="O51" s="109"/>
      <c r="P51" s="109"/>
      <c r="Q51" s="109"/>
    </row>
    <row r="52" spans="2:17">
      <c r="B52" s="173"/>
      <c r="C52" s="173"/>
      <c r="D52" s="173"/>
      <c r="E52" s="173"/>
      <c r="F52" s="173"/>
      <c r="G52" s="173"/>
      <c r="H52" s="109"/>
      <c r="I52" s="109"/>
      <c r="J52" s="109"/>
      <c r="K52" s="109"/>
      <c r="L52" s="109"/>
      <c r="M52" s="109"/>
      <c r="N52" s="109"/>
      <c r="O52" s="109"/>
      <c r="P52" s="109"/>
      <c r="Q52" s="109"/>
    </row>
    <row r="53" spans="2:17">
      <c r="B53" s="173"/>
      <c r="C53" s="173"/>
      <c r="D53" s="173"/>
      <c r="E53" s="173"/>
      <c r="F53" s="173"/>
      <c r="G53" s="173"/>
      <c r="H53" s="109"/>
      <c r="I53" s="109"/>
      <c r="J53" s="109"/>
      <c r="K53" s="109"/>
      <c r="L53" s="109"/>
      <c r="M53" s="109"/>
      <c r="N53" s="109"/>
      <c r="O53" s="109"/>
      <c r="P53" s="109"/>
      <c r="Q53" s="109"/>
    </row>
    <row r="54" spans="2:17">
      <c r="H54" s="33"/>
      <c r="I54" s="33"/>
      <c r="J54" s="33"/>
      <c r="K54" s="33"/>
      <c r="L54" s="33"/>
      <c r="M54" s="33"/>
      <c r="N54" s="33"/>
      <c r="O54" s="33"/>
      <c r="P54" s="33"/>
      <c r="Q54" s="33"/>
    </row>
    <row r="55" spans="2:17">
      <c r="H55" s="33"/>
      <c r="I55" s="33"/>
      <c r="J55" s="33"/>
      <c r="K55" s="33"/>
      <c r="L55" s="33"/>
      <c r="M55" s="33"/>
      <c r="N55" s="33"/>
      <c r="O55" s="33"/>
      <c r="P55" s="33"/>
      <c r="Q55" s="33"/>
    </row>
    <row r="56" spans="2:17">
      <c r="H56" s="33"/>
      <c r="I56" s="33"/>
      <c r="J56" s="33"/>
      <c r="K56" s="33"/>
      <c r="L56" s="33"/>
      <c r="M56" s="33"/>
      <c r="N56" s="33"/>
      <c r="O56" s="33"/>
      <c r="P56" s="33"/>
      <c r="Q56" s="33"/>
    </row>
  </sheetData>
  <sheetProtection algorithmName="SHA-512" hashValue="7TRLE3/gSqYXucEB19MUXQNPLtzAIsbzu1lRDkUW4pWgvo8/xG30CygbhtBEMREU3gEmbAUcHpy8+PSHcn3Uog==" saltValue="cFbvioMRqKN9RjWyrV52Sg==" spinCount="100000" sheet="1" objects="1" scenarios="1"/>
  <mergeCells count="2">
    <mergeCell ref="A15:E15"/>
    <mergeCell ref="B48:G53"/>
  </mergeCells>
  <pageMargins left="0.25" right="0.25" top="0.75" bottom="0.75" header="0.3" footer="0.3"/>
  <pageSetup paperSize="9" scale="45" fitToWidth="0" orientation="landscape" r:id="rId1"/>
  <ignoredErrors>
    <ignoredError sqref="F24:F43 F21:F23 F44:F45" emptyCellReferenc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Hilfsblatt!$A$66:$A$67</xm:f>
          </x14:formula1>
          <xm:sqref>C21:C43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G57"/>
  <sheetViews>
    <sheetView showGridLines="0" zoomScale="145" zoomScaleNormal="145" workbookViewId="0">
      <selection activeCell="B3" sqref="B3"/>
    </sheetView>
  </sheetViews>
  <sheetFormatPr baseColWidth="10" defaultRowHeight="14.25"/>
  <cols>
    <col min="1" max="1" width="12.8984375" style="96" customWidth="1"/>
    <col min="2" max="2" width="58.69921875" customWidth="1"/>
    <col min="3" max="3" width="4.19921875" customWidth="1"/>
    <col min="5" max="5" width="18.3984375" customWidth="1"/>
    <col min="6" max="6" width="21.8984375" customWidth="1"/>
    <col min="7" max="7" width="12.5" customWidth="1"/>
  </cols>
  <sheetData>
    <row r="2" spans="1:3" ht="15" thickBot="1">
      <c r="B2" s="97" t="s">
        <v>134</v>
      </c>
    </row>
    <row r="3" spans="1:3" ht="15" thickBot="1">
      <c r="A3" s="170" t="s">
        <v>2</v>
      </c>
      <c r="B3" s="60" t="str">
        <f>IF((ISBLANK(DN_Name)),"",DN_Name)</f>
        <v/>
      </c>
    </row>
    <row r="4" spans="1:3" ht="15" thickBot="1">
      <c r="A4" s="170" t="s">
        <v>3</v>
      </c>
      <c r="B4" s="60" t="str">
        <f>IF((ISBLANK(AK_Name)),"",AK_Name)</f>
        <v/>
      </c>
    </row>
    <row r="5" spans="1:3" ht="15" thickBot="1">
      <c r="A5" s="170" t="s">
        <v>185</v>
      </c>
      <c r="B5" s="60" t="str">
        <f>IF((ISBLANK(VorgangsID)),"",VorgangsID)</f>
        <v/>
      </c>
    </row>
    <row r="6" spans="1:3" ht="15" thickBot="1">
      <c r="A6" s="171" t="s">
        <v>124</v>
      </c>
      <c r="B6" s="60" t="str">
        <f>IF((ISBLANK(Country_AK_no)),"",Country_AK_no)</f>
        <v/>
      </c>
    </row>
    <row r="8" spans="1:3" ht="15">
      <c r="A8" s="98" t="s">
        <v>36</v>
      </c>
      <c r="B8" s="99" t="s">
        <v>123</v>
      </c>
      <c r="C8" s="21"/>
    </row>
    <row r="9" spans="1:3" ht="15" thickBot="1">
      <c r="B9" s="95"/>
    </row>
    <row r="10" spans="1:3" ht="30" customHeight="1" thickBot="1">
      <c r="B10" s="139" t="s">
        <v>144</v>
      </c>
      <c r="C10" s="104"/>
    </row>
    <row r="11" spans="1:3" ht="30" customHeight="1" thickBot="1">
      <c r="B11" s="139" t="s">
        <v>138</v>
      </c>
      <c r="C11" s="104"/>
    </row>
    <row r="12" spans="1:3" ht="30" customHeight="1" thickBot="1">
      <c r="B12" s="139" t="s">
        <v>145</v>
      </c>
      <c r="C12" s="104"/>
    </row>
    <row r="14" spans="1:3" ht="15">
      <c r="A14" s="98" t="s">
        <v>37</v>
      </c>
      <c r="B14" s="99" t="s">
        <v>125</v>
      </c>
      <c r="C14" s="21"/>
    </row>
    <row r="15" spans="1:3" ht="15.75" thickBot="1">
      <c r="B15" s="94"/>
    </row>
    <row r="16" spans="1:3" ht="37.5" customHeight="1" thickBot="1">
      <c r="B16" s="139" t="s">
        <v>146</v>
      </c>
      <c r="C16" s="104"/>
    </row>
    <row r="17" spans="1:5" ht="37.5" customHeight="1" thickBot="1">
      <c r="B17" s="139" t="s">
        <v>147</v>
      </c>
      <c r="C17" s="104"/>
    </row>
    <row r="18" spans="1:5" ht="49.5" customHeight="1" thickBot="1">
      <c r="B18" s="139" t="s">
        <v>161</v>
      </c>
      <c r="C18" s="104"/>
    </row>
    <row r="19" spans="1:5">
      <c r="B19" s="121"/>
      <c r="C19" s="120"/>
    </row>
    <row r="21" spans="1:5" ht="15">
      <c r="A21" s="98" t="s">
        <v>38</v>
      </c>
      <c r="B21" s="99" t="s">
        <v>127</v>
      </c>
      <c r="C21" s="21"/>
      <c r="D21" t="s">
        <v>175</v>
      </c>
    </row>
    <row r="22" spans="1:5" ht="15.75" thickBot="1">
      <c r="B22" s="94"/>
    </row>
    <row r="23" spans="1:5" ht="72" thickBot="1">
      <c r="B23" s="144" t="s">
        <v>168</v>
      </c>
      <c r="C23" s="104"/>
    </row>
    <row r="24" spans="1:5" ht="45.75" customHeight="1" thickBot="1">
      <c r="B24" s="147" t="s">
        <v>169</v>
      </c>
      <c r="C24" s="104"/>
    </row>
    <row r="25" spans="1:5" ht="72" thickBot="1">
      <c r="B25" s="145" t="s">
        <v>173</v>
      </c>
      <c r="C25" s="104"/>
    </row>
    <row r="26" spans="1:5" ht="36" customHeight="1" thickBot="1">
      <c r="B26" s="146" t="s">
        <v>170</v>
      </c>
      <c r="C26" s="104"/>
      <c r="D26" s="33"/>
      <c r="E26" s="28"/>
    </row>
    <row r="29" spans="1:5" ht="15">
      <c r="A29" s="98" t="s">
        <v>39</v>
      </c>
      <c r="B29" s="126" t="s">
        <v>154</v>
      </c>
      <c r="C29" s="21"/>
    </row>
    <row r="30" spans="1:5" ht="15.75" thickBot="1">
      <c r="B30" s="94"/>
    </row>
    <row r="31" spans="1:5" ht="30" customHeight="1" thickBot="1">
      <c r="B31" s="139" t="s">
        <v>133</v>
      </c>
      <c r="C31" s="104"/>
    </row>
    <row r="32" spans="1:5" ht="45.75" customHeight="1" thickBot="1">
      <c r="B32" s="139" t="s">
        <v>153</v>
      </c>
      <c r="C32" s="104"/>
      <c r="E32" s="105" t="s">
        <v>128</v>
      </c>
    </row>
    <row r="33" spans="1:7" ht="51.75" thickBot="1">
      <c r="B33" s="139" t="s">
        <v>155</v>
      </c>
      <c r="C33" s="104"/>
      <c r="D33" s="103" t="s">
        <v>47</v>
      </c>
      <c r="E33" s="142" t="s">
        <v>162</v>
      </c>
      <c r="F33" s="143" t="s">
        <v>157</v>
      </c>
      <c r="G33" s="143" t="s">
        <v>156</v>
      </c>
    </row>
    <row r="34" spans="1:7" ht="15" thickBot="1">
      <c r="B34" s="95"/>
      <c r="E34" s="106"/>
      <c r="F34" s="106"/>
      <c r="G34" s="107"/>
    </row>
    <row r="36" spans="1:7" ht="15">
      <c r="A36" s="98" t="s">
        <v>40</v>
      </c>
      <c r="B36" s="126" t="s">
        <v>148</v>
      </c>
      <c r="C36" s="21"/>
    </row>
    <row r="37" spans="1:7" ht="15" thickBot="1">
      <c r="B37" s="95"/>
    </row>
    <row r="38" spans="1:7" ht="57.75" thickBot="1">
      <c r="B38" s="148" t="s">
        <v>171</v>
      </c>
      <c r="C38" s="104"/>
      <c r="E38" s="149" t="s">
        <v>174</v>
      </c>
    </row>
    <row r="40" spans="1:7">
      <c r="B40" s="95"/>
    </row>
    <row r="41" spans="1:7" ht="15">
      <c r="A41" s="98" t="s">
        <v>41</v>
      </c>
      <c r="B41" s="99" t="s">
        <v>129</v>
      </c>
      <c r="C41" s="21"/>
    </row>
    <row r="42" spans="1:7" ht="15" thickBot="1">
      <c r="B42" s="95"/>
    </row>
    <row r="43" spans="1:7" ht="72" thickBot="1">
      <c r="B43" s="140" t="s">
        <v>149</v>
      </c>
      <c r="C43" s="104"/>
    </row>
    <row r="44" spans="1:7">
      <c r="B44" s="95"/>
    </row>
    <row r="46" spans="1:7" ht="15">
      <c r="A46" s="98" t="s">
        <v>43</v>
      </c>
      <c r="B46" s="99" t="s">
        <v>130</v>
      </c>
      <c r="C46" s="21"/>
    </row>
    <row r="47" spans="1:7" ht="15.75" thickBot="1">
      <c r="B47" s="94" t="s">
        <v>42</v>
      </c>
    </row>
    <row r="48" spans="1:7" ht="43.5" thickBot="1">
      <c r="B48" s="140" t="s">
        <v>150</v>
      </c>
      <c r="C48" s="104"/>
    </row>
    <row r="49" spans="1:3">
      <c r="B49" s="95"/>
    </row>
    <row r="50" spans="1:3" ht="15" thickBot="1"/>
    <row r="51" spans="1:3" ht="30" customHeight="1" thickBot="1">
      <c r="A51" s="98" t="s">
        <v>44</v>
      </c>
      <c r="B51" s="141" t="s">
        <v>152</v>
      </c>
      <c r="C51" s="104"/>
    </row>
    <row r="53" spans="1:3" ht="15" thickBot="1">
      <c r="B53" s="95"/>
    </row>
    <row r="54" spans="1:3" ht="30" customHeight="1" thickBot="1">
      <c r="A54" s="98" t="s">
        <v>45</v>
      </c>
      <c r="B54" s="140" t="s">
        <v>151</v>
      </c>
      <c r="C54" s="104"/>
    </row>
    <row r="56" spans="1:3" ht="15" thickBot="1"/>
    <row r="57" spans="1:3" ht="43.5" thickBot="1">
      <c r="A57" s="98" t="s">
        <v>46</v>
      </c>
      <c r="B57" s="148" t="s">
        <v>172</v>
      </c>
      <c r="C57" s="104"/>
    </row>
  </sheetData>
  <sheetProtection algorithmName="SHA-512" hashValue="dkB6j5RFc6FG7AriAGIy4LureeAOLqGitKbvBunvLGoyNOdmXAGCLfJZTwKF73YoEGPppq8Hy/eeeRdohCcqVQ==" saltValue="zU+bPRBAoQ3hB1CWM/d2rQ==" spinCount="100000" sheet="1" objects="1" scenarios="1"/>
  <hyperlinks>
    <hyperlink ref="E38" r:id="rId1"/>
  </hyperlinks>
  <pageMargins left="0.25" right="0.25" top="0.75" bottom="0.75" header="0.3" footer="0.3"/>
  <pageSetup paperSize="9" scale="51" fitToWidth="0" orientation="portrait" r:id="rId2"/>
  <ignoredErrors>
    <ignoredError sqref="B3:B4 B5:B6" unlockedFormula="1"/>
  </ignoredErrors>
  <drawing r:id="rId3"/>
  <legacyDrawing r:id="rId4"/>
  <oleObjects>
    <mc:AlternateContent xmlns:mc="http://schemas.openxmlformats.org/markup-compatibility/2006">
      <mc:Choice Requires="x14">
        <oleObject progId="AcroExch.Document.DC" shapeId="6169" r:id="rId5">
          <objectPr defaultSize="0" autoPict="0" r:id="rId6">
            <anchor moveWithCells="1">
              <from>
                <xdr:col>5</xdr:col>
                <xdr:colOff>342900</xdr:colOff>
                <xdr:row>17</xdr:row>
                <xdr:rowOff>523875</xdr:rowOff>
              </from>
              <to>
                <xdr:col>5</xdr:col>
                <xdr:colOff>1285875</xdr:colOff>
                <xdr:row>22</xdr:row>
                <xdr:rowOff>485775</xdr:rowOff>
              </to>
            </anchor>
          </objectPr>
        </oleObject>
      </mc:Choice>
      <mc:Fallback>
        <oleObject progId="AcroExch.Document.DC" shapeId="6169" r:id="rId5"/>
      </mc:Fallback>
    </mc:AlternateContent>
  </oleObjects>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ltText="">
                <anchor moveWithCells="1">
                  <from>
                    <xdr:col>2</xdr:col>
                    <xdr:colOff>104775</xdr:colOff>
                    <xdr:row>9</xdr:row>
                    <xdr:rowOff>66675</xdr:rowOff>
                  </from>
                  <to>
                    <xdr:col>2</xdr:col>
                    <xdr:colOff>342900</xdr:colOff>
                    <xdr:row>9</xdr:row>
                    <xdr:rowOff>314325</xdr:rowOff>
                  </to>
                </anchor>
              </controlPr>
            </control>
          </mc:Choice>
        </mc:AlternateContent>
        <mc:AlternateContent xmlns:mc="http://schemas.openxmlformats.org/markup-compatibility/2006">
          <mc:Choice Requires="x14">
            <control shapeId="6146" r:id="rId8" name="Check Box 2">
              <controlPr defaultSize="0" autoFill="0" autoLine="0" autoPict="0" altText="">
                <anchor moveWithCells="1">
                  <from>
                    <xdr:col>2</xdr:col>
                    <xdr:colOff>104775</xdr:colOff>
                    <xdr:row>10</xdr:row>
                    <xdr:rowOff>66675</xdr:rowOff>
                  </from>
                  <to>
                    <xdr:col>2</xdr:col>
                    <xdr:colOff>342900</xdr:colOff>
                    <xdr:row>10</xdr:row>
                    <xdr:rowOff>314325</xdr:rowOff>
                  </to>
                </anchor>
              </controlPr>
            </control>
          </mc:Choice>
        </mc:AlternateContent>
        <mc:AlternateContent xmlns:mc="http://schemas.openxmlformats.org/markup-compatibility/2006">
          <mc:Choice Requires="x14">
            <control shapeId="6147" r:id="rId9" name="Check Box 3">
              <controlPr defaultSize="0" autoFill="0" autoLine="0" autoPict="0" altText="">
                <anchor moveWithCells="1">
                  <from>
                    <xdr:col>2</xdr:col>
                    <xdr:colOff>104775</xdr:colOff>
                    <xdr:row>11</xdr:row>
                    <xdr:rowOff>66675</xdr:rowOff>
                  </from>
                  <to>
                    <xdr:col>2</xdr:col>
                    <xdr:colOff>342900</xdr:colOff>
                    <xdr:row>11</xdr:row>
                    <xdr:rowOff>314325</xdr:rowOff>
                  </to>
                </anchor>
              </controlPr>
            </control>
          </mc:Choice>
        </mc:AlternateContent>
        <mc:AlternateContent xmlns:mc="http://schemas.openxmlformats.org/markup-compatibility/2006">
          <mc:Choice Requires="x14">
            <control shapeId="6148" r:id="rId10" name="Check Box 4">
              <controlPr defaultSize="0" autoFill="0" autoLine="0" autoPict="0" altText="">
                <anchor moveWithCells="1">
                  <from>
                    <xdr:col>2</xdr:col>
                    <xdr:colOff>104775</xdr:colOff>
                    <xdr:row>15</xdr:row>
                    <xdr:rowOff>66675</xdr:rowOff>
                  </from>
                  <to>
                    <xdr:col>2</xdr:col>
                    <xdr:colOff>342900</xdr:colOff>
                    <xdr:row>15</xdr:row>
                    <xdr:rowOff>314325</xdr:rowOff>
                  </to>
                </anchor>
              </controlPr>
            </control>
          </mc:Choice>
        </mc:AlternateContent>
        <mc:AlternateContent xmlns:mc="http://schemas.openxmlformats.org/markup-compatibility/2006">
          <mc:Choice Requires="x14">
            <control shapeId="6149" r:id="rId11" name="Check Box 5">
              <controlPr defaultSize="0" autoFill="0" autoLine="0" autoPict="0" altText="">
                <anchor moveWithCells="1">
                  <from>
                    <xdr:col>2</xdr:col>
                    <xdr:colOff>104775</xdr:colOff>
                    <xdr:row>16</xdr:row>
                    <xdr:rowOff>66675</xdr:rowOff>
                  </from>
                  <to>
                    <xdr:col>2</xdr:col>
                    <xdr:colOff>342900</xdr:colOff>
                    <xdr:row>16</xdr:row>
                    <xdr:rowOff>314325</xdr:rowOff>
                  </to>
                </anchor>
              </controlPr>
            </control>
          </mc:Choice>
        </mc:AlternateContent>
        <mc:AlternateContent xmlns:mc="http://schemas.openxmlformats.org/markup-compatibility/2006">
          <mc:Choice Requires="x14">
            <control shapeId="6150" r:id="rId12" name="Check Box 6">
              <controlPr defaultSize="0" autoFill="0" autoLine="0" autoPict="0" altText="">
                <anchor moveWithCells="1">
                  <from>
                    <xdr:col>2</xdr:col>
                    <xdr:colOff>104775</xdr:colOff>
                    <xdr:row>22</xdr:row>
                    <xdr:rowOff>66675</xdr:rowOff>
                  </from>
                  <to>
                    <xdr:col>2</xdr:col>
                    <xdr:colOff>342900</xdr:colOff>
                    <xdr:row>22</xdr:row>
                    <xdr:rowOff>314325</xdr:rowOff>
                  </to>
                </anchor>
              </controlPr>
            </control>
          </mc:Choice>
        </mc:AlternateContent>
        <mc:AlternateContent xmlns:mc="http://schemas.openxmlformats.org/markup-compatibility/2006">
          <mc:Choice Requires="x14">
            <control shapeId="6151" r:id="rId13" name="Check Box 7">
              <controlPr defaultSize="0" autoFill="0" autoLine="0" autoPict="0" altText="">
                <anchor moveWithCells="1">
                  <from>
                    <xdr:col>2</xdr:col>
                    <xdr:colOff>104775</xdr:colOff>
                    <xdr:row>23</xdr:row>
                    <xdr:rowOff>66675</xdr:rowOff>
                  </from>
                  <to>
                    <xdr:col>2</xdr:col>
                    <xdr:colOff>342900</xdr:colOff>
                    <xdr:row>23</xdr:row>
                    <xdr:rowOff>314325</xdr:rowOff>
                  </to>
                </anchor>
              </controlPr>
            </control>
          </mc:Choice>
        </mc:AlternateContent>
        <mc:AlternateContent xmlns:mc="http://schemas.openxmlformats.org/markup-compatibility/2006">
          <mc:Choice Requires="x14">
            <control shapeId="6152" r:id="rId14" name="Check Box 8">
              <controlPr defaultSize="0" autoFill="0" autoLine="0" autoPict="0" altText="">
                <anchor moveWithCells="1">
                  <from>
                    <xdr:col>2</xdr:col>
                    <xdr:colOff>104775</xdr:colOff>
                    <xdr:row>24</xdr:row>
                    <xdr:rowOff>266700</xdr:rowOff>
                  </from>
                  <to>
                    <xdr:col>2</xdr:col>
                    <xdr:colOff>342900</xdr:colOff>
                    <xdr:row>24</xdr:row>
                    <xdr:rowOff>514350</xdr:rowOff>
                  </to>
                </anchor>
              </controlPr>
            </control>
          </mc:Choice>
        </mc:AlternateContent>
        <mc:AlternateContent xmlns:mc="http://schemas.openxmlformats.org/markup-compatibility/2006">
          <mc:Choice Requires="x14">
            <control shapeId="6153" r:id="rId15" name="Check Box 9">
              <controlPr defaultSize="0" autoFill="0" autoLine="0" autoPict="0" altText="">
                <anchor moveWithCells="1">
                  <from>
                    <xdr:col>2</xdr:col>
                    <xdr:colOff>104775</xdr:colOff>
                    <xdr:row>25</xdr:row>
                    <xdr:rowOff>66675</xdr:rowOff>
                  </from>
                  <to>
                    <xdr:col>2</xdr:col>
                    <xdr:colOff>342900</xdr:colOff>
                    <xdr:row>25</xdr:row>
                    <xdr:rowOff>314325</xdr:rowOff>
                  </to>
                </anchor>
              </controlPr>
            </control>
          </mc:Choice>
        </mc:AlternateContent>
        <mc:AlternateContent xmlns:mc="http://schemas.openxmlformats.org/markup-compatibility/2006">
          <mc:Choice Requires="x14">
            <control shapeId="6154" r:id="rId16" name="Check Box 10">
              <controlPr defaultSize="0" autoFill="0" autoLine="0" autoPict="0" altText="">
                <anchor moveWithCells="1">
                  <from>
                    <xdr:col>2</xdr:col>
                    <xdr:colOff>104775</xdr:colOff>
                    <xdr:row>31</xdr:row>
                    <xdr:rowOff>66675</xdr:rowOff>
                  </from>
                  <to>
                    <xdr:col>2</xdr:col>
                    <xdr:colOff>342900</xdr:colOff>
                    <xdr:row>31</xdr:row>
                    <xdr:rowOff>400050</xdr:rowOff>
                  </to>
                </anchor>
              </controlPr>
            </control>
          </mc:Choice>
        </mc:AlternateContent>
        <mc:AlternateContent xmlns:mc="http://schemas.openxmlformats.org/markup-compatibility/2006">
          <mc:Choice Requires="x14">
            <control shapeId="6156" r:id="rId17" name="Check Box 12">
              <controlPr defaultSize="0" autoFill="0" autoLine="0" autoPict="0" altText="">
                <anchor moveWithCells="1">
                  <from>
                    <xdr:col>2</xdr:col>
                    <xdr:colOff>104775</xdr:colOff>
                    <xdr:row>32</xdr:row>
                    <xdr:rowOff>95250</xdr:rowOff>
                  </from>
                  <to>
                    <xdr:col>2</xdr:col>
                    <xdr:colOff>342900</xdr:colOff>
                    <xdr:row>32</xdr:row>
                    <xdr:rowOff>342900</xdr:rowOff>
                  </to>
                </anchor>
              </controlPr>
            </control>
          </mc:Choice>
        </mc:AlternateContent>
        <mc:AlternateContent xmlns:mc="http://schemas.openxmlformats.org/markup-compatibility/2006">
          <mc:Choice Requires="x14">
            <control shapeId="6157" r:id="rId18" name="Check Box 13">
              <controlPr defaultSize="0" autoFill="0" autoLine="0" autoPict="0" altText="">
                <anchor moveWithCells="1">
                  <from>
                    <xdr:col>2</xdr:col>
                    <xdr:colOff>104775</xdr:colOff>
                    <xdr:row>37</xdr:row>
                    <xdr:rowOff>28575</xdr:rowOff>
                  </from>
                  <to>
                    <xdr:col>2</xdr:col>
                    <xdr:colOff>342900</xdr:colOff>
                    <xdr:row>37</xdr:row>
                    <xdr:rowOff>581025</xdr:rowOff>
                  </to>
                </anchor>
              </controlPr>
            </control>
          </mc:Choice>
        </mc:AlternateContent>
        <mc:AlternateContent xmlns:mc="http://schemas.openxmlformats.org/markup-compatibility/2006">
          <mc:Choice Requires="x14">
            <control shapeId="6158" r:id="rId19" name="Check Box 14">
              <controlPr defaultSize="0" autoFill="0" autoLine="0" autoPict="0" altText="">
                <anchor moveWithCells="1">
                  <from>
                    <xdr:col>2</xdr:col>
                    <xdr:colOff>104775</xdr:colOff>
                    <xdr:row>42</xdr:row>
                    <xdr:rowOff>142875</xdr:rowOff>
                  </from>
                  <to>
                    <xdr:col>2</xdr:col>
                    <xdr:colOff>342900</xdr:colOff>
                    <xdr:row>42</xdr:row>
                    <xdr:rowOff>752475</xdr:rowOff>
                  </to>
                </anchor>
              </controlPr>
            </control>
          </mc:Choice>
        </mc:AlternateContent>
        <mc:AlternateContent xmlns:mc="http://schemas.openxmlformats.org/markup-compatibility/2006">
          <mc:Choice Requires="x14">
            <control shapeId="6159" r:id="rId20" name="Check Box 15">
              <controlPr defaultSize="0" autoFill="0" autoLine="0" autoPict="0" altText="">
                <anchor moveWithCells="1">
                  <from>
                    <xdr:col>2</xdr:col>
                    <xdr:colOff>104775</xdr:colOff>
                    <xdr:row>47</xdr:row>
                    <xdr:rowOff>66675</xdr:rowOff>
                  </from>
                  <to>
                    <xdr:col>2</xdr:col>
                    <xdr:colOff>342900</xdr:colOff>
                    <xdr:row>47</xdr:row>
                    <xdr:rowOff>419100</xdr:rowOff>
                  </to>
                </anchor>
              </controlPr>
            </control>
          </mc:Choice>
        </mc:AlternateContent>
        <mc:AlternateContent xmlns:mc="http://schemas.openxmlformats.org/markup-compatibility/2006">
          <mc:Choice Requires="x14">
            <control shapeId="6160" r:id="rId21" name="Check Box 16">
              <controlPr defaultSize="0" autoFill="0" autoLine="0" autoPict="0" altText="">
                <anchor moveWithCells="1">
                  <from>
                    <xdr:col>2</xdr:col>
                    <xdr:colOff>104775</xdr:colOff>
                    <xdr:row>50</xdr:row>
                    <xdr:rowOff>66675</xdr:rowOff>
                  </from>
                  <to>
                    <xdr:col>2</xdr:col>
                    <xdr:colOff>342900</xdr:colOff>
                    <xdr:row>51</xdr:row>
                    <xdr:rowOff>0</xdr:rowOff>
                  </to>
                </anchor>
              </controlPr>
            </control>
          </mc:Choice>
        </mc:AlternateContent>
        <mc:AlternateContent xmlns:mc="http://schemas.openxmlformats.org/markup-compatibility/2006">
          <mc:Choice Requires="x14">
            <control shapeId="6161" r:id="rId22" name="Check Box 17">
              <controlPr defaultSize="0" autoFill="0" autoLine="0" autoPict="0" altText="">
                <anchor moveWithCells="1">
                  <from>
                    <xdr:col>2</xdr:col>
                    <xdr:colOff>104775</xdr:colOff>
                    <xdr:row>53</xdr:row>
                    <xdr:rowOff>66675</xdr:rowOff>
                  </from>
                  <to>
                    <xdr:col>2</xdr:col>
                    <xdr:colOff>342900</xdr:colOff>
                    <xdr:row>54</xdr:row>
                    <xdr:rowOff>0</xdr:rowOff>
                  </to>
                </anchor>
              </controlPr>
            </control>
          </mc:Choice>
        </mc:AlternateContent>
        <mc:AlternateContent xmlns:mc="http://schemas.openxmlformats.org/markup-compatibility/2006">
          <mc:Choice Requires="x14">
            <control shapeId="6162" r:id="rId23" name="Check Box 18">
              <controlPr defaultSize="0" autoFill="0" autoLine="0" autoPict="0" altText="">
                <anchor moveWithCells="1">
                  <from>
                    <xdr:col>2</xdr:col>
                    <xdr:colOff>104775</xdr:colOff>
                    <xdr:row>56</xdr:row>
                    <xdr:rowOff>66675</xdr:rowOff>
                  </from>
                  <to>
                    <xdr:col>2</xdr:col>
                    <xdr:colOff>342900</xdr:colOff>
                    <xdr:row>57</xdr:row>
                    <xdr:rowOff>0</xdr:rowOff>
                  </to>
                </anchor>
              </controlPr>
            </control>
          </mc:Choice>
        </mc:AlternateContent>
        <mc:AlternateContent xmlns:mc="http://schemas.openxmlformats.org/markup-compatibility/2006">
          <mc:Choice Requires="x14">
            <control shapeId="6163" r:id="rId24" name="Check Box 19">
              <controlPr defaultSize="0" autoFill="0" autoLine="0" autoPict="0" altText="">
                <anchor moveWithCells="1">
                  <from>
                    <xdr:col>2</xdr:col>
                    <xdr:colOff>95250</xdr:colOff>
                    <xdr:row>17</xdr:row>
                    <xdr:rowOff>161925</xdr:rowOff>
                  </from>
                  <to>
                    <xdr:col>2</xdr:col>
                    <xdr:colOff>333375</xdr:colOff>
                    <xdr:row>17</xdr:row>
                    <xdr:rowOff>409575</xdr:rowOff>
                  </to>
                </anchor>
              </controlPr>
            </control>
          </mc:Choice>
        </mc:AlternateContent>
        <mc:AlternateContent xmlns:mc="http://schemas.openxmlformats.org/markup-compatibility/2006">
          <mc:Choice Requires="x14">
            <control shapeId="6166" r:id="rId25" name="Check Box 22">
              <controlPr defaultSize="0" autoFill="0" autoLine="0" autoPict="0" altText="">
                <anchor moveWithCells="1">
                  <from>
                    <xdr:col>2</xdr:col>
                    <xdr:colOff>104775</xdr:colOff>
                    <xdr:row>32</xdr:row>
                    <xdr:rowOff>0</xdr:rowOff>
                  </from>
                  <to>
                    <xdr:col>2</xdr:col>
                    <xdr:colOff>342900</xdr:colOff>
                    <xdr:row>32</xdr:row>
                    <xdr:rowOff>438150</xdr:rowOff>
                  </to>
                </anchor>
              </controlPr>
            </control>
          </mc:Choice>
        </mc:AlternateContent>
        <mc:AlternateContent xmlns:mc="http://schemas.openxmlformats.org/markup-compatibility/2006">
          <mc:Choice Requires="x14">
            <control shapeId="6167" r:id="rId26" name="Check Box 23">
              <controlPr defaultSize="0" autoFill="0" autoLine="0" autoPict="0" altText="">
                <anchor moveWithCells="1">
                  <from>
                    <xdr:col>2</xdr:col>
                    <xdr:colOff>104775</xdr:colOff>
                    <xdr:row>30</xdr:row>
                    <xdr:rowOff>0</xdr:rowOff>
                  </from>
                  <to>
                    <xdr:col>2</xdr:col>
                    <xdr:colOff>342900</xdr:colOff>
                    <xdr:row>30</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7"/>
  <sheetViews>
    <sheetView topLeftCell="A13" workbookViewId="0">
      <selection activeCell="A42" sqref="A42"/>
    </sheetView>
  </sheetViews>
  <sheetFormatPr baseColWidth="10" defaultRowHeight="14.25"/>
  <sheetData>
    <row r="2" spans="1:3">
      <c r="A2" s="75" t="s">
        <v>5</v>
      </c>
      <c r="B2" s="76"/>
      <c r="C2" s="76"/>
    </row>
    <row r="4" spans="1:3">
      <c r="A4" s="18" t="s">
        <v>6</v>
      </c>
    </row>
    <row r="5" spans="1:3">
      <c r="A5" s="23">
        <v>0.85</v>
      </c>
    </row>
    <row r="6" spans="1:3">
      <c r="A6" s="23">
        <v>0.9</v>
      </c>
    </row>
    <row r="7" spans="1:3">
      <c r="A7" s="23">
        <v>0.95</v>
      </c>
    </row>
    <row r="8" spans="1:3">
      <c r="A8" s="23"/>
    </row>
    <row r="9" spans="1:3" ht="15" customHeight="1"/>
    <row r="10" spans="1:3">
      <c r="A10" s="18" t="s">
        <v>1</v>
      </c>
    </row>
    <row r="11" spans="1:3">
      <c r="A11" t="s">
        <v>7</v>
      </c>
    </row>
    <row r="12" spans="1:3">
      <c r="A12" t="s">
        <v>8</v>
      </c>
    </row>
    <row r="13" spans="1:3">
      <c r="A13" t="s">
        <v>9</v>
      </c>
    </row>
    <row r="14" spans="1:3">
      <c r="A14" t="s">
        <v>10</v>
      </c>
    </row>
    <row r="15" spans="1:3">
      <c r="A15" t="s">
        <v>11</v>
      </c>
    </row>
    <row r="16" spans="1:3">
      <c r="A16" t="s">
        <v>12</v>
      </c>
    </row>
    <row r="17" spans="1:6">
      <c r="A17" t="s">
        <v>13</v>
      </c>
    </row>
    <row r="18" spans="1:6">
      <c r="A18" t="s">
        <v>132</v>
      </c>
    </row>
    <row r="22" spans="1:6">
      <c r="A22" s="75" t="s">
        <v>14</v>
      </c>
      <c r="B22" s="75"/>
      <c r="C22" s="75"/>
    </row>
    <row r="25" spans="1:6">
      <c r="A25" s="18" t="s">
        <v>4</v>
      </c>
      <c r="D25" s="18" t="s">
        <v>34</v>
      </c>
    </row>
    <row r="26" spans="1:6">
      <c r="A26" t="s">
        <v>75</v>
      </c>
      <c r="D26" t="s">
        <v>81</v>
      </c>
    </row>
    <row r="27" spans="1:6">
      <c r="A27" t="s">
        <v>76</v>
      </c>
      <c r="D27" t="s">
        <v>82</v>
      </c>
    </row>
    <row r="28" spans="1:6">
      <c r="A28" t="s">
        <v>78</v>
      </c>
      <c r="D28" t="s">
        <v>164</v>
      </c>
    </row>
    <row r="29" spans="1:6">
      <c r="A29" t="s">
        <v>165</v>
      </c>
    </row>
    <row r="31" spans="1:6">
      <c r="A31" s="75" t="s">
        <v>48</v>
      </c>
      <c r="B31" s="76"/>
      <c r="C31" s="76"/>
    </row>
    <row r="32" spans="1:6">
      <c r="E32" t="s">
        <v>26</v>
      </c>
      <c r="F32" t="s">
        <v>27</v>
      </c>
    </row>
    <row r="33" spans="1:4">
      <c r="A33" s="18" t="s">
        <v>15</v>
      </c>
      <c r="C33" s="18" t="s">
        <v>25</v>
      </c>
    </row>
    <row r="34" spans="1:4">
      <c r="A34" t="s">
        <v>16</v>
      </c>
      <c r="C34" t="s">
        <v>93</v>
      </c>
    </row>
    <row r="35" spans="1:4">
      <c r="A35" t="s">
        <v>17</v>
      </c>
      <c r="C35" t="s">
        <v>94</v>
      </c>
    </row>
    <row r="36" spans="1:4">
      <c r="C36" t="s">
        <v>95</v>
      </c>
    </row>
    <row r="38" spans="1:4">
      <c r="A38" s="18" t="s">
        <v>18</v>
      </c>
    </row>
    <row r="39" spans="1:4">
      <c r="A39" t="s">
        <v>30</v>
      </c>
    </row>
    <row r="40" spans="1:4">
      <c r="A40" t="s">
        <v>31</v>
      </c>
    </row>
    <row r="41" spans="1:4">
      <c r="A41" t="s">
        <v>178</v>
      </c>
    </row>
    <row r="43" spans="1:4">
      <c r="A43" s="18" t="s">
        <v>19</v>
      </c>
      <c r="D43" s="24" t="s">
        <v>0</v>
      </c>
    </row>
    <row r="44" spans="1:4">
      <c r="A44" t="s">
        <v>98</v>
      </c>
      <c r="D44" t="s">
        <v>49</v>
      </c>
    </row>
    <row r="45" spans="1:4">
      <c r="A45" t="s">
        <v>96</v>
      </c>
      <c r="D45" t="s">
        <v>33</v>
      </c>
    </row>
    <row r="46" spans="1:4">
      <c r="A46" t="s">
        <v>97</v>
      </c>
    </row>
    <row r="48" spans="1:4">
      <c r="A48" s="18" t="s">
        <v>20</v>
      </c>
    </row>
    <row r="49" spans="1:3">
      <c r="A49" t="s">
        <v>91</v>
      </c>
    </row>
    <row r="50" spans="1:3">
      <c r="A50" t="s">
        <v>92</v>
      </c>
    </row>
    <row r="52" spans="1:3">
      <c r="A52" s="18" t="s">
        <v>22</v>
      </c>
    </row>
    <row r="53" spans="1:3">
      <c r="A53" t="s">
        <v>88</v>
      </c>
    </row>
    <row r="54" spans="1:3">
      <c r="A54" t="s">
        <v>89</v>
      </c>
    </row>
    <row r="55" spans="1:3">
      <c r="A55" t="s">
        <v>90</v>
      </c>
    </row>
    <row r="57" spans="1:3">
      <c r="A57" s="18" t="s">
        <v>24</v>
      </c>
    </row>
    <row r="58" spans="1:3">
      <c r="A58" s="23">
        <v>0.05</v>
      </c>
    </row>
    <row r="59" spans="1:3">
      <c r="A59" s="23">
        <v>0.1</v>
      </c>
    </row>
    <row r="60" spans="1:3">
      <c r="A60" s="23">
        <v>0.15</v>
      </c>
    </row>
    <row r="61" spans="1:3">
      <c r="A61" s="23">
        <v>0</v>
      </c>
    </row>
    <row r="64" spans="1:3">
      <c r="A64" s="75" t="s">
        <v>35</v>
      </c>
      <c r="B64" s="75"/>
      <c r="C64" s="75"/>
    </row>
    <row r="66" spans="1:1">
      <c r="A66" t="s">
        <v>91</v>
      </c>
    </row>
    <row r="67" spans="1:1">
      <c r="A67" t="s">
        <v>92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34</vt:i4>
      </vt:variant>
    </vt:vector>
  </HeadingPairs>
  <TitlesOfParts>
    <vt:vector size="40" baseType="lpstr">
      <vt:lpstr>Introduction</vt:lpstr>
      <vt:lpstr>Disbursement &amp; interim interest</vt:lpstr>
      <vt:lpstr>Amortization plan &amp; interest</vt:lpstr>
      <vt:lpstr>Payment for uncovered claims</vt:lpstr>
      <vt:lpstr>Checklist of documents</vt:lpstr>
      <vt:lpstr>Hilfsblatt</vt:lpstr>
      <vt:lpstr>AK_Name</vt:lpstr>
      <vt:lpstr>Country_AK_no</vt:lpstr>
      <vt:lpstr>Date_from</vt:lpstr>
      <vt:lpstr>Date_until</vt:lpstr>
      <vt:lpstr>DN_Name</vt:lpstr>
      <vt:lpstr>'Amortization plan &amp; interest'!Druckbereich</vt:lpstr>
      <vt:lpstr>'Checklist of documents'!Druckbereich</vt:lpstr>
      <vt:lpstr>'Disbursement &amp; interim interest'!Druckbereich</vt:lpstr>
      <vt:lpstr>Introduction!Druckbereich</vt:lpstr>
      <vt:lpstr>'Payment for uncovered claims'!Druckbereich</vt:lpstr>
      <vt:lpstr>Fälligkeit</vt:lpstr>
      <vt:lpstr>Haftung</vt:lpstr>
      <vt:lpstr>Kap_ausgez</vt:lpstr>
      <vt:lpstr>Kap_ged</vt:lpstr>
      <vt:lpstr>Kap_ges</vt:lpstr>
      <vt:lpstr>Kapitalrate</vt:lpstr>
      <vt:lpstr>Land_AK_Nr</vt:lpstr>
      <vt:lpstr>Marge</vt:lpstr>
      <vt:lpstr>Method</vt:lpstr>
      <vt:lpstr>Rate_Nr</vt:lpstr>
      <vt:lpstr>Ratenart</vt:lpstr>
      <vt:lpstr>Restkapital</vt:lpstr>
      <vt:lpstr>Satz</vt:lpstr>
      <vt:lpstr>SB</vt:lpstr>
      <vt:lpstr>SB_Betrag</vt:lpstr>
      <vt:lpstr>Tilgungsbeginn</vt:lpstr>
      <vt:lpstr>VorgangsID</vt:lpstr>
      <vt:lpstr>Vorlaufzinsen</vt:lpstr>
      <vt:lpstr>Währung</vt:lpstr>
      <vt:lpstr>Zahl_Raten</vt:lpstr>
      <vt:lpstr>Zerofloor</vt:lpstr>
      <vt:lpstr>Zins_ged</vt:lpstr>
      <vt:lpstr>Zinsmethode</vt:lpstr>
      <vt:lpstr>Zinssatz</vt:lpstr>
    </vt:vector>
  </TitlesOfParts>
  <Company>Euler Hermes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Haas, Alexandra (EH:GERMANY HV09)</dc:creator>
  <cp:lastModifiedBy>Haas, Alexandra (EH:GERMANY HV09)</cp:lastModifiedBy>
  <cp:lastPrinted>2019-12-06T14:11:23Z</cp:lastPrinted>
  <dcterms:created xsi:type="dcterms:W3CDTF">2019-02-27T12:40:32Z</dcterms:created>
  <dcterms:modified xsi:type="dcterms:W3CDTF">2020-08-21T11:32:40Z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{EF9418CD-C8B5-4DA7-BDD5-CDBBB6BF3877}</vt:lpwstr>
  </property>
</Properties>
</file>